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60" yWindow="345" windowWidth="24315" windowHeight="12135"/>
  </bookViews>
  <sheets>
    <sheet name="Sheet1" sheetId="1" r:id="rId1"/>
  </sheets>
  <definedNames>
    <definedName name="_xlnm.Print_Area" localSheetId="0">Sheet1!$A$1:$AB$56</definedName>
    <definedName name="Z_5D611E74_9E03_4DFC_866C_F7FA8E158320_.wvu.Cols" localSheetId="0" hidden="1">Sheet1!$G:$AB</definedName>
  </definedNames>
  <calcPr calcId="145621"/>
  <customWorkbookViews>
    <customWorkbookView name="Calculator View" guid="{5D611E74-9E03-4DFC-866C-F7FA8E158320}" maximized="1" windowWidth="1560" windowHeight="846" activeSheetId="1"/>
  </customWorkbookViews>
</workbook>
</file>

<file path=xl/calcChain.xml><?xml version="1.0" encoding="utf-8"?>
<calcChain xmlns="http://schemas.openxmlformats.org/spreadsheetml/2006/main">
  <c r="C16" i="1" l="1"/>
  <c r="P19" i="1" l="1"/>
  <c r="P20" i="1"/>
  <c r="C9" i="1" l="1"/>
  <c r="J4" i="1" l="1"/>
  <c r="K4" i="1" s="1"/>
  <c r="L4" i="1" s="1"/>
  <c r="C41" i="1"/>
  <c r="C5" i="1"/>
  <c r="M4" i="1" l="1"/>
  <c r="N4" i="1" s="1"/>
  <c r="O4" i="1" s="1"/>
  <c r="C45" i="1" l="1"/>
  <c r="T13" i="1" l="1"/>
  <c r="I5" i="1"/>
  <c r="I6" i="1" s="1"/>
  <c r="I7" i="1" s="1"/>
  <c r="I8" i="1" l="1"/>
  <c r="C23" i="1"/>
  <c r="C33" i="1" s="1"/>
  <c r="F47" i="1"/>
  <c r="D47" i="1"/>
  <c r="C28" i="1" l="1"/>
  <c r="C29" i="1" s="1"/>
  <c r="C34" i="1"/>
  <c r="C24" i="1"/>
  <c r="E50" i="1"/>
  <c r="C48" i="1"/>
  <c r="C49" i="1" s="1"/>
  <c r="E48" i="1"/>
  <c r="E49" i="1" s="1"/>
  <c r="C50" i="1"/>
  <c r="C30" i="1" l="1"/>
  <c r="C31" i="1" s="1"/>
  <c r="C37" i="1" s="1"/>
  <c r="C38" i="1" s="1"/>
  <c r="C35" i="1"/>
  <c r="C36" i="1" s="1"/>
  <c r="C51" i="1"/>
  <c r="E51" i="1"/>
  <c r="E52" i="1"/>
  <c r="U13" i="1"/>
  <c r="C12" i="1" s="1"/>
  <c r="C55" i="1" l="1"/>
  <c r="E54" i="1"/>
  <c r="C54" i="1"/>
  <c r="E55" i="1"/>
  <c r="C52" i="1"/>
  <c r="C39" i="1" l="1"/>
  <c r="E56" i="1" l="1"/>
  <c r="C56" i="1"/>
  <c r="C40" i="1"/>
</calcChain>
</file>

<file path=xl/comments1.xml><?xml version="1.0" encoding="utf-8"?>
<comments xmlns="http://schemas.openxmlformats.org/spreadsheetml/2006/main">
  <authors>
    <author>Patrick Morse</author>
  </authors>
  <commentList>
    <comment ref="B2" authorId="0">
      <text>
        <r>
          <rPr>
            <sz val="9"/>
            <color indexed="81"/>
            <rFont val="Tahoma"/>
            <family val="2"/>
          </rPr>
          <t>For monolithic target tubes the virtual backing tube OD is 132.5mm</t>
        </r>
      </text>
    </comment>
    <comment ref="B5" authorId="0">
      <text>
        <r>
          <rPr>
            <sz val="9"/>
            <color indexed="81"/>
            <rFont val="Tahoma"/>
            <family val="2"/>
          </rPr>
          <t xml:space="preserve">The Backing Tube Length is subject to the change to match the nearest 1/2" magnet bar increment lenght
</t>
        </r>
      </text>
    </comment>
    <comment ref="B10" authorId="0">
      <text>
        <r>
          <rPr>
            <sz val="9"/>
            <color indexed="81"/>
            <rFont val="Tahoma"/>
            <family val="2"/>
          </rPr>
          <t>Select "User Data" under the Target Material Selection to add you own nDDR</t>
        </r>
      </text>
    </comment>
    <comment ref="T12" authorId="0">
      <text>
        <r>
          <rPr>
            <b/>
            <sz val="9"/>
            <color indexed="81"/>
            <rFont val="Tahoma"/>
            <family val="2"/>
          </rPr>
          <t>Patrick Morse:</t>
        </r>
        <r>
          <rPr>
            <sz val="9"/>
            <color indexed="81"/>
            <rFont val="Tahoma"/>
            <family val="2"/>
          </rPr>
          <t xml:space="preserve">
This is the deposition rate as a function of target length and power. ((nm)*(m)*(m/min))/(kW)</t>
        </r>
      </text>
    </comment>
    <comment ref="R15" authorId="0">
      <text>
        <r>
          <rPr>
            <b/>
            <sz val="9"/>
            <color indexed="81"/>
            <rFont val="Tahoma"/>
            <family val="2"/>
          </rPr>
          <t>Patrick Morse:</t>
        </r>
        <r>
          <rPr>
            <sz val="9"/>
            <color indexed="81"/>
            <rFont val="Tahoma"/>
            <family val="2"/>
          </rPr>
          <t xml:space="preserve">
Data Source: http://www.thinfilmproducts.umicore.com/pdf2011/datenblatt_rotary_ceramics.pdf </t>
        </r>
      </text>
    </comment>
    <comment ref="B19" authorId="0">
      <text>
        <r>
          <rPr>
            <sz val="9"/>
            <color indexed="81"/>
            <rFont val="Tahoma"/>
            <family val="2"/>
          </rPr>
          <t>Selecting yes adds a scaling factor to the pure metal target nDDR</t>
        </r>
      </text>
    </comment>
    <comment ref="B20" authorId="0">
      <text>
        <r>
          <rPr>
            <sz val="9"/>
            <color indexed="81"/>
            <rFont val="Tahoma"/>
            <family val="2"/>
          </rPr>
          <t>The reactive material selection must match the pure metal selection.  
For example: Silicon with SiO2
Cell turns green when the material match</t>
        </r>
      </text>
    </comment>
    <comment ref="B21" authorId="0">
      <text>
        <r>
          <rPr>
            <sz val="9"/>
            <color indexed="81"/>
            <rFont val="Tahoma"/>
            <family val="2"/>
          </rPr>
          <t>Select "User Data" under reactive process material to use this value</t>
        </r>
      </text>
    </comment>
    <comment ref="B27" authorId="0">
      <text>
        <r>
          <rPr>
            <sz val="9"/>
            <color indexed="81"/>
            <rFont val="Tahoma"/>
            <family val="2"/>
          </rPr>
          <t xml:space="preserve">This the the maximum power level of the power supply used to power the cathodes, the input box will turn yellow if the power supply can deliver more power than the target can safely handle
</t>
        </r>
      </text>
    </comment>
    <comment ref="B32" authorId="0">
      <text>
        <r>
          <rPr>
            <sz val="9"/>
            <color indexed="81"/>
            <rFont val="Tahoma"/>
            <family val="2"/>
          </rPr>
          <t>The input box will become red if the power supply set point is higher than the maximum power of the target material</t>
        </r>
      </text>
    </comment>
    <comment ref="B37" authorId="0">
      <text>
        <r>
          <rPr>
            <sz val="9"/>
            <color indexed="81"/>
            <rFont val="Tahoma"/>
            <family val="2"/>
          </rPr>
          <t>The optimized setpoint uses the maximum power supply rating to suggest an operating power for the required deposition rate</t>
        </r>
      </text>
    </comment>
    <comment ref="B53" authorId="0">
      <text>
        <r>
          <rPr>
            <sz val="9"/>
            <color indexed="81"/>
            <rFont val="Tahoma"/>
            <family val="2"/>
          </rPr>
          <t>This is the estimate for the amount of the sputtered material that ends up on the substrate compared to the condensate shield along the substrate width</t>
        </r>
      </text>
    </comment>
  </commentList>
</comments>
</file>

<file path=xl/sharedStrings.xml><?xml version="1.0" encoding="utf-8"?>
<sst xmlns="http://schemas.openxmlformats.org/spreadsheetml/2006/main" count="171" uniqueCount="130">
  <si>
    <t>mm</t>
  </si>
  <si>
    <t>nm*m/min</t>
  </si>
  <si>
    <t>kW</t>
  </si>
  <si>
    <t>Substrate Velocity</t>
  </si>
  <si>
    <t>m/min</t>
  </si>
  <si>
    <t>Yes</t>
  </si>
  <si>
    <t>No</t>
  </si>
  <si>
    <t>Power Type</t>
  </si>
  <si>
    <t>AC</t>
  </si>
  <si>
    <t>DC</t>
  </si>
  <si>
    <t>Pulse DC</t>
  </si>
  <si>
    <t>Bi-Polar Pulse DC</t>
  </si>
  <si>
    <t>Adjusted Sputter Rate</t>
  </si>
  <si>
    <t>Target Material Thickness</t>
  </si>
  <si>
    <t>Coating Layer Thickness</t>
  </si>
  <si>
    <t>nm</t>
  </si>
  <si>
    <t>Cathode Rounding</t>
  </si>
  <si>
    <t>Power Supply Type</t>
  </si>
  <si>
    <t>Metal Target Materials</t>
  </si>
  <si>
    <t xml:space="preserve">DC nDDR </t>
  </si>
  <si>
    <t>Max Power</t>
  </si>
  <si>
    <t>((nm)*(m/min))/(kW/m)</t>
  </si>
  <si>
    <t>kw/m</t>
  </si>
  <si>
    <t>Aluminum</t>
  </si>
  <si>
    <t>Chromium</t>
  </si>
  <si>
    <t>Copper</t>
  </si>
  <si>
    <t>Germanium</t>
  </si>
  <si>
    <t>Indium</t>
  </si>
  <si>
    <t>Molybdenum</t>
  </si>
  <si>
    <t>Nickel</t>
  </si>
  <si>
    <t>Niobium</t>
  </si>
  <si>
    <t>Silicon</t>
  </si>
  <si>
    <t>Stainless Steel</t>
  </si>
  <si>
    <t>Tantalum</t>
  </si>
  <si>
    <t>Tin</t>
  </si>
  <si>
    <t>Titanium</t>
  </si>
  <si>
    <t>Tungsten</t>
  </si>
  <si>
    <t>Zirconium</t>
  </si>
  <si>
    <t>ITO</t>
  </si>
  <si>
    <t>Hidden Data</t>
  </si>
  <si>
    <t>TTS Multiplier</t>
  </si>
  <si>
    <t>QRM Metal Uniformity</t>
  </si>
  <si>
    <t>TRM Metal Uniformity</t>
  </si>
  <si>
    <t>Target OD</t>
  </si>
  <si>
    <t>QRM Utilization</t>
  </si>
  <si>
    <t>TRM Utilization</t>
  </si>
  <si>
    <t>N/A</t>
  </si>
  <si>
    <t>Substrate Width</t>
  </si>
  <si>
    <t>Target Material OD</t>
  </si>
  <si>
    <t>QRM</t>
  </si>
  <si>
    <t>TRM</t>
  </si>
  <si>
    <t>+/-</t>
  </si>
  <si>
    <t>Min Target Material Volume</t>
  </si>
  <si>
    <r>
      <t>cm</t>
    </r>
    <r>
      <rPr>
        <vertAlign val="superscript"/>
        <sz val="11"/>
        <color theme="1"/>
        <rFont val="Calibri"/>
        <family val="2"/>
        <scheme val="minor"/>
      </rPr>
      <t>3</t>
    </r>
  </si>
  <si>
    <t>Estimated Utilization (Metal Mode)</t>
  </si>
  <si>
    <t>Estimated Remaining Material</t>
  </si>
  <si>
    <t>Reactive Process Control Type</t>
  </si>
  <si>
    <t>Reactive Process Control</t>
  </si>
  <si>
    <t>Open Loop</t>
  </si>
  <si>
    <t>Lambda Sensor</t>
  </si>
  <si>
    <t>Plasma Emission Monitor</t>
  </si>
  <si>
    <t>SiO2</t>
  </si>
  <si>
    <t>AZO Ceramic</t>
  </si>
  <si>
    <t>ITO Ceramic</t>
  </si>
  <si>
    <t>Reactive Voltage Control</t>
  </si>
  <si>
    <t>Silicon Carbide</t>
  </si>
  <si>
    <t>Gold</t>
  </si>
  <si>
    <t>Zinc</t>
  </si>
  <si>
    <t>Process Parameters</t>
  </si>
  <si>
    <t>Al2O3</t>
  </si>
  <si>
    <t>Copper Gallium</t>
  </si>
  <si>
    <t xml:space="preserve"> User Data</t>
  </si>
  <si>
    <t>User supplied reactive process scaling factor</t>
  </si>
  <si>
    <t>Column #</t>
  </si>
  <si>
    <t>User Supplied Maximum Power Set Point</t>
  </si>
  <si>
    <t>Min Target Material Length on backing tube</t>
  </si>
  <si>
    <t>Estimated Target Lifetime at Power Set Point</t>
  </si>
  <si>
    <t>hours</t>
  </si>
  <si>
    <t>Estimated Target Material Volume Sputtered</t>
  </si>
  <si>
    <t>Reactive Material nDDR - ((nm)*(m/min))/(kW/m)</t>
  </si>
  <si>
    <t>Required Hardware Specifications</t>
  </si>
  <si>
    <t>Required Deposition Rate</t>
  </si>
  <si>
    <t>Deposition Rate at Recommended Power Set Point</t>
  </si>
  <si>
    <t>TiO2</t>
  </si>
  <si>
    <t>Si3N4</t>
  </si>
  <si>
    <t>Nb2O5</t>
  </si>
  <si>
    <t xml:space="preserve">Is this a reactive process? </t>
  </si>
  <si>
    <t>TTS (Target Backing Tube to Substrate)</t>
  </si>
  <si>
    <t>Target Material nDDR - ((nm)*(m/min))/(kW/m)</t>
  </si>
  <si>
    <t>User Supplied nDDR - ((nm)*(m/min))/(kW/m)</t>
  </si>
  <si>
    <t>Reactive Matching #</t>
  </si>
  <si>
    <t>Material Matching #</t>
  </si>
  <si>
    <t>Reactive Process Scaling Factor, 100% = full metal</t>
  </si>
  <si>
    <t>Reactive process material (green when matching)</t>
  </si>
  <si>
    <t>Reactive Process Matchig Logic</t>
  </si>
  <si>
    <t>Metal Mode Uniformity (measured from a 650mm target)</t>
  </si>
  <si>
    <t>Maximum Target Power Rating</t>
  </si>
  <si>
    <t>Target Material</t>
  </si>
  <si>
    <t>Reactive Process Sputtering - Optional</t>
  </si>
  <si>
    <t>Maximum Power Supply Rating (Max Power)</t>
  </si>
  <si>
    <t>Deposition Rate at Max Power</t>
  </si>
  <si>
    <t>Deposition Rate at Set Point</t>
  </si>
  <si>
    <t>Deposition Rate at Set Point for All Cathodes Combined</t>
  </si>
  <si>
    <t>Deposition Rate at Max Power for All Cathodes Combined</t>
  </si>
  <si>
    <t>Number of Power Supplies at Max Power</t>
  </si>
  <si>
    <t>Number of Power Supplies at Set Point</t>
  </si>
  <si>
    <t>Number of Cathodes at Set Point</t>
  </si>
  <si>
    <t>Number of Cathodes at Max Power</t>
  </si>
  <si>
    <t>Estimated Target Lifetime at Max Power</t>
  </si>
  <si>
    <t>Number of Cathodes at Optimized Set Point</t>
  </si>
  <si>
    <t>Number of Power Supplies at Optimized Set Point</t>
  </si>
  <si>
    <t>Deposition Rate at all Cathodes Combined</t>
  </si>
  <si>
    <t>Optimized Power Set Point for correct coating thickness</t>
  </si>
  <si>
    <t>User Power Supply Set Point (Set Point)</t>
  </si>
  <si>
    <t>Estimated Lifetime at Optimized Power Set Point</t>
  </si>
  <si>
    <t>Change Log:</t>
  </si>
  <si>
    <t>Added target lifetime calculation</t>
  </si>
  <si>
    <t>changed layout - elimated metal mode sputtering section</t>
  </si>
  <si>
    <t>Updated aluminum oxide reactive sputtering values</t>
  </si>
  <si>
    <t>Target Backing Tube Length</t>
  </si>
  <si>
    <t>Target Backing Tube Sizing</t>
  </si>
  <si>
    <t>Magnet Bar Comparison</t>
  </si>
  <si>
    <t>Estimated Inline Sputter Deposition Collection Efficiency</t>
  </si>
  <si>
    <t>i-ZnO Ceramic</t>
  </si>
  <si>
    <t>Added i-ZnO Ceramic Data from Paul Lippens (Umicore)</t>
  </si>
  <si>
    <t>Changed Mo power density from 50 to 30 from Plansee's material recommendations.</t>
  </si>
  <si>
    <t>CIG</t>
  </si>
  <si>
    <t>Added CIG material nDDR and power density from the Indium Corporation CIG presentation</t>
  </si>
  <si>
    <t>Changed silicon max power to 25kW/m</t>
  </si>
  <si>
    <t>Fixed order of materials to allow copper to display correctly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</si>
</sst>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Calibri"/>
      <family val="2"/>
      <scheme val="minor"/>
    </font>
    <font>
      <b/>
      <sz val="11"/>
      <color rgb="FF000000"/>
      <name val="Calibri"/>
      <family val="2"/>
      <scheme val="minor"/>
    </font>
    <font>
      <b/>
      <sz val="9"/>
      <color indexed="81"/>
      <name val="Tahoma"/>
      <family val="2"/>
    </font>
    <font>
      <sz val="9"/>
      <color indexed="81"/>
      <name val="Tahoma"/>
      <family val="2"/>
    </font>
    <font>
      <b/>
      <sz val="11"/>
      <name val="Calibri"/>
      <family val="2"/>
      <scheme val="minor"/>
    </font>
    <font>
      <vertAlign val="superscript"/>
      <sz val="11"/>
      <color theme="1"/>
      <name val="Calibri"/>
      <family val="2"/>
      <scheme val="minor"/>
    </font>
    <font>
      <b/>
      <sz val="12"/>
      <color theme="1"/>
      <name val="Calibri"/>
      <family val="2"/>
      <scheme val="minor"/>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darkGray">
        <bgColor theme="0"/>
      </patternFill>
    </fill>
    <fill>
      <patternFill patternType="darkGray">
        <bgColor theme="0" tint="-4.9989318521683403E-2"/>
      </patternFill>
    </fill>
    <fill>
      <patternFill patternType="solid">
        <fgColor rgb="FF92D050"/>
        <bgColor indexed="64"/>
      </patternFill>
    </fill>
    <fill>
      <patternFill patternType="solid">
        <fgColor theme="5" tint="0.39997558519241921"/>
        <bgColor indexed="64"/>
      </patternFill>
    </fill>
    <fill>
      <patternFill patternType="solid">
        <fgColor theme="3" tint="0.79998168889431442"/>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style="thin">
        <color auto="1"/>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156">
    <xf numFmtId="0" fontId="0" fillId="0" borderId="0" xfId="0"/>
    <xf numFmtId="0" fontId="0" fillId="0" borderId="0" xfId="0" applyAlignment="1">
      <alignment wrapText="1"/>
    </xf>
    <xf numFmtId="0" fontId="0" fillId="2" borderId="0" xfId="0" applyFill="1"/>
    <xf numFmtId="10" fontId="0" fillId="2" borderId="0" xfId="0" applyNumberFormat="1" applyFill="1"/>
    <xf numFmtId="10" fontId="0" fillId="0" borderId="0" xfId="0" applyNumberFormat="1"/>
    <xf numFmtId="0" fontId="2" fillId="2" borderId="2" xfId="0" applyFont="1" applyFill="1" applyBorder="1" applyAlignment="1">
      <alignment horizontal="center"/>
    </xf>
    <xf numFmtId="0" fontId="1" fillId="2" borderId="2" xfId="0" applyFont="1" applyFill="1" applyBorder="1" applyAlignment="1">
      <alignment horizontal="center"/>
    </xf>
    <xf numFmtId="0" fontId="0" fillId="2" borderId="4" xfId="0" applyFill="1" applyBorder="1"/>
    <xf numFmtId="0" fontId="0" fillId="2" borderId="10" xfId="0" applyFill="1" applyBorder="1" applyAlignment="1">
      <alignment horizontal="center" vertical="center"/>
    </xf>
    <xf numFmtId="0" fontId="0" fillId="2" borderId="2" xfId="0" applyFill="1" applyBorder="1" applyAlignment="1">
      <alignment horizontal="center"/>
    </xf>
    <xf numFmtId="0" fontId="0" fillId="2" borderId="10" xfId="0" applyFill="1" applyBorder="1"/>
    <xf numFmtId="0" fontId="0" fillId="2" borderId="12" xfId="0" applyFill="1" applyBorder="1"/>
    <xf numFmtId="0" fontId="0" fillId="2" borderId="5" xfId="0" applyFill="1" applyBorder="1"/>
    <xf numFmtId="0" fontId="0" fillId="2" borderId="5" xfId="0" applyFill="1" applyBorder="1" applyAlignment="1">
      <alignment horizontal="center"/>
    </xf>
    <xf numFmtId="0" fontId="0" fillId="2" borderId="6" xfId="0" applyFill="1" applyBorder="1"/>
    <xf numFmtId="0" fontId="0" fillId="2" borderId="13" xfId="0" applyFill="1" applyBorder="1"/>
    <xf numFmtId="0" fontId="0" fillId="2" borderId="2" xfId="0" applyFill="1" applyBorder="1"/>
    <xf numFmtId="0" fontId="0" fillId="2" borderId="4" xfId="0" applyFill="1" applyBorder="1" applyAlignment="1">
      <alignment vertical="center"/>
    </xf>
    <xf numFmtId="0" fontId="0" fillId="2" borderId="4" xfId="0" applyFill="1" applyBorder="1" applyAlignment="1">
      <alignment horizontal="center"/>
    </xf>
    <xf numFmtId="0" fontId="0" fillId="2" borderId="10" xfId="0" applyFill="1" applyBorder="1" applyAlignment="1">
      <alignment vertical="center"/>
    </xf>
    <xf numFmtId="0" fontId="0" fillId="2" borderId="2" xfId="0" applyFill="1" applyBorder="1" applyAlignment="1">
      <alignment horizontal="center" vertical="center"/>
    </xf>
    <xf numFmtId="0" fontId="0" fillId="2" borderId="15" xfId="0" applyFill="1" applyBorder="1"/>
    <xf numFmtId="0" fontId="0" fillId="2" borderId="12" xfId="0" applyFill="1" applyBorder="1" applyAlignment="1">
      <alignment horizontal="center"/>
    </xf>
    <xf numFmtId="0" fontId="0" fillId="2" borderId="16" xfId="0" applyFill="1" applyBorder="1" applyAlignment="1">
      <alignment horizontal="center"/>
    </xf>
    <xf numFmtId="0" fontId="0" fillId="2" borderId="12" xfId="0" applyFill="1" applyBorder="1" applyAlignment="1">
      <alignment vertical="center"/>
    </xf>
    <xf numFmtId="0" fontId="0" fillId="2" borderId="9" xfId="0" applyFill="1" applyBorder="1" applyAlignment="1">
      <alignment vertical="center"/>
    </xf>
    <xf numFmtId="9" fontId="0" fillId="2" borderId="2" xfId="0" applyNumberFormat="1" applyFill="1" applyBorder="1" applyAlignment="1">
      <alignment horizontal="center"/>
    </xf>
    <xf numFmtId="9" fontId="0" fillId="2" borderId="2" xfId="0" applyNumberFormat="1" applyFill="1" applyBorder="1"/>
    <xf numFmtId="0" fontId="0" fillId="2" borderId="2" xfId="0" applyNumberFormat="1" applyFill="1" applyBorder="1"/>
    <xf numFmtId="0" fontId="0" fillId="2" borderId="2" xfId="0" applyFill="1" applyBorder="1" applyAlignment="1">
      <alignment horizontal="right"/>
    </xf>
    <xf numFmtId="10" fontId="0" fillId="2" borderId="2" xfId="0" applyNumberFormat="1" applyFill="1" applyBorder="1"/>
    <xf numFmtId="0" fontId="0" fillId="0" borderId="0" xfId="0" applyFill="1"/>
    <xf numFmtId="0" fontId="0" fillId="0" borderId="0" xfId="0" applyFill="1" applyBorder="1" applyAlignment="1">
      <alignment horizontal="center"/>
    </xf>
    <xf numFmtId="2" fontId="0" fillId="2" borderId="2" xfId="0" applyNumberFormat="1" applyFill="1" applyBorder="1" applyAlignment="1">
      <alignment horizontal="center"/>
    </xf>
    <xf numFmtId="0" fontId="0" fillId="3" borderId="0" xfId="0" applyFill="1"/>
    <xf numFmtId="0" fontId="0" fillId="3" borderId="8" xfId="0" applyFill="1" applyBorder="1" applyAlignment="1"/>
    <xf numFmtId="0" fontId="0" fillId="3" borderId="0" xfId="0" applyFill="1" applyBorder="1" applyAlignment="1">
      <alignment horizontal="center"/>
    </xf>
    <xf numFmtId="0" fontId="0" fillId="2" borderId="0" xfId="0" applyFill="1" applyBorder="1" applyAlignment="1">
      <alignment horizontal="center"/>
    </xf>
    <xf numFmtId="1" fontId="0" fillId="2" borderId="2" xfId="0" applyNumberFormat="1" applyFill="1" applyBorder="1" applyAlignment="1">
      <alignment horizontal="center"/>
    </xf>
    <xf numFmtId="1" fontId="0" fillId="3" borderId="4" xfId="0" applyNumberFormat="1" applyFill="1" applyBorder="1" applyAlignment="1">
      <alignment vertical="center"/>
    </xf>
    <xf numFmtId="0" fontId="0" fillId="3" borderId="5" xfId="0" applyFill="1" applyBorder="1" applyAlignment="1">
      <alignment vertical="center"/>
    </xf>
    <xf numFmtId="1" fontId="0" fillId="3" borderId="0" xfId="0" applyNumberFormat="1" applyFill="1" applyBorder="1" applyAlignment="1">
      <alignment vertical="center"/>
    </xf>
    <xf numFmtId="0" fontId="0" fillId="3" borderId="0" xfId="0" applyFill="1" applyBorder="1" applyAlignment="1">
      <alignment vertical="center"/>
    </xf>
    <xf numFmtId="0" fontId="0" fillId="0" borderId="6" xfId="0" applyFont="1" applyBorder="1" applyAlignment="1">
      <alignment vertical="center"/>
    </xf>
    <xf numFmtId="0" fontId="0" fillId="0" borderId="4" xfId="0" applyFont="1" applyBorder="1" applyAlignment="1">
      <alignment vertical="center"/>
    </xf>
    <xf numFmtId="0" fontId="0" fillId="3" borderId="0" xfId="0" applyFill="1" applyAlignment="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0" borderId="14" xfId="0" applyFont="1" applyBorder="1" applyAlignment="1">
      <alignment horizontal="left" vertical="center"/>
    </xf>
    <xf numFmtId="0" fontId="0" fillId="0" borderId="2" xfId="0" applyFont="1" applyBorder="1" applyAlignment="1">
      <alignment horizontal="left" vertical="center"/>
    </xf>
    <xf numFmtId="0" fontId="0" fillId="3" borderId="14" xfId="0" applyFont="1" applyFill="1" applyBorder="1" applyAlignment="1">
      <alignment horizontal="right" vertical="center"/>
    </xf>
    <xf numFmtId="0" fontId="0" fillId="3" borderId="2" xfId="0" applyFont="1" applyFill="1" applyBorder="1" applyAlignment="1">
      <alignment horizontal="right" vertical="center" wrapText="1"/>
    </xf>
    <xf numFmtId="0" fontId="0" fillId="3" borderId="2" xfId="0" applyFont="1" applyFill="1" applyBorder="1" applyAlignment="1">
      <alignment vertical="center" wrapText="1"/>
    </xf>
    <xf numFmtId="0" fontId="0" fillId="0" borderId="6" xfId="0" applyFont="1" applyBorder="1" applyAlignment="1">
      <alignment vertical="center" wrapText="1"/>
    </xf>
    <xf numFmtId="0" fontId="0" fillId="8" borderId="6" xfId="0" applyFont="1" applyFill="1" applyBorder="1" applyAlignment="1">
      <alignment vertical="center" wrapText="1"/>
    </xf>
    <xf numFmtId="0" fontId="0" fillId="9" borderId="4" xfId="0" applyFont="1" applyFill="1" applyBorder="1" applyAlignment="1">
      <alignment vertical="center" wrapText="1"/>
    </xf>
    <xf numFmtId="0" fontId="0" fillId="0" borderId="4" xfId="0"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3" borderId="14" xfId="0" applyFont="1" applyFill="1" applyBorder="1" applyAlignment="1">
      <alignment horizontal="right" vertical="center" wrapText="1"/>
    </xf>
    <xf numFmtId="0" fontId="0" fillId="0" borderId="2" xfId="0" applyFont="1" applyBorder="1" applyAlignment="1">
      <alignment vertical="center" wrapText="1"/>
    </xf>
    <xf numFmtId="0" fontId="0" fillId="3" borderId="0" xfId="0" applyFill="1" applyAlignment="1">
      <alignment vertical="center" wrapText="1"/>
    </xf>
    <xf numFmtId="0" fontId="1" fillId="3" borderId="0" xfId="0" applyFont="1" applyFill="1" applyBorder="1" applyAlignment="1">
      <alignment horizontal="center" vertical="center"/>
    </xf>
    <xf numFmtId="0" fontId="0" fillId="9" borderId="2" xfId="0" applyFont="1" applyFill="1" applyBorder="1" applyAlignment="1">
      <alignment vertical="center" wrapText="1"/>
    </xf>
    <xf numFmtId="0" fontId="0" fillId="9" borderId="14" xfId="0" applyFont="1" applyFill="1" applyBorder="1" applyAlignment="1">
      <alignment vertical="center" wrapText="1"/>
    </xf>
    <xf numFmtId="0" fontId="0" fillId="8" borderId="2" xfId="0" applyFont="1" applyFill="1" applyBorder="1" applyAlignment="1">
      <alignment vertical="center" wrapText="1"/>
    </xf>
    <xf numFmtId="0" fontId="0" fillId="7" borderId="2" xfId="0" applyFont="1" applyFill="1" applyBorder="1" applyAlignment="1">
      <alignment vertical="center" wrapText="1"/>
    </xf>
    <xf numFmtId="0" fontId="0" fillId="3" borderId="0" xfId="0" applyFont="1" applyFill="1" applyBorder="1" applyAlignment="1">
      <alignment vertical="center" wrapText="1"/>
    </xf>
    <xf numFmtId="0" fontId="1" fillId="0" borderId="0" xfId="0" applyFont="1" applyAlignment="1">
      <alignment vertical="center"/>
    </xf>
    <xf numFmtId="0" fontId="0" fillId="3" borderId="4" xfId="0" quotePrefix="1" applyFill="1" applyBorder="1" applyAlignment="1">
      <alignment horizontal="right" vertical="center"/>
    </xf>
    <xf numFmtId="10" fontId="0" fillId="3" borderId="5" xfId="0" applyNumberFormat="1" applyFill="1" applyBorder="1" applyAlignment="1">
      <alignment horizontal="left" vertical="center"/>
    </xf>
    <xf numFmtId="0" fontId="0" fillId="3" borderId="4" xfId="0" applyFill="1" applyBorder="1" applyAlignment="1">
      <alignment horizontal="right" vertical="center"/>
    </xf>
    <xf numFmtId="0" fontId="0" fillId="3" borderId="5" xfId="0" applyFill="1" applyBorder="1" applyAlignment="1">
      <alignment horizontal="left" vertical="center"/>
    </xf>
    <xf numFmtId="0" fontId="0" fillId="0" borderId="2" xfId="0" applyFont="1" applyFill="1" applyBorder="1" applyAlignment="1">
      <alignment vertical="center"/>
    </xf>
    <xf numFmtId="0" fontId="0" fillId="0" borderId="14" xfId="0" applyFont="1" applyBorder="1" applyAlignment="1">
      <alignment vertical="center" wrapText="1"/>
    </xf>
    <xf numFmtId="164" fontId="0" fillId="3" borderId="4" xfId="0" applyNumberFormat="1" applyFill="1" applyBorder="1" applyAlignment="1">
      <alignment vertical="center"/>
    </xf>
    <xf numFmtId="164" fontId="0" fillId="3" borderId="10" xfId="0" applyNumberFormat="1" applyFill="1" applyBorder="1" applyAlignment="1">
      <alignment vertical="center"/>
    </xf>
    <xf numFmtId="0" fontId="0" fillId="3" borderId="10" xfId="0" applyFill="1" applyBorder="1" applyAlignment="1">
      <alignment vertical="center"/>
    </xf>
    <xf numFmtId="0" fontId="0" fillId="3" borderId="5" xfId="0" applyFill="1" applyBorder="1" applyAlignment="1">
      <alignment vertical="center"/>
    </xf>
    <xf numFmtId="0" fontId="0" fillId="3" borderId="4" xfId="0" applyFont="1" applyFill="1" applyBorder="1" applyAlignment="1">
      <alignment vertical="center"/>
    </xf>
    <xf numFmtId="0" fontId="0" fillId="3" borderId="10" xfId="0" applyFont="1" applyFill="1" applyBorder="1" applyAlignment="1">
      <alignment vertical="center"/>
    </xf>
    <xf numFmtId="0" fontId="0" fillId="3" borderId="5" xfId="0" applyFont="1" applyFill="1" applyBorder="1" applyAlignment="1">
      <alignment vertical="center"/>
    </xf>
    <xf numFmtId="0" fontId="0" fillId="3" borderId="1" xfId="0" applyFill="1" applyBorder="1" applyAlignment="1">
      <alignment horizontal="center"/>
    </xf>
    <xf numFmtId="0" fontId="1" fillId="2" borderId="2" xfId="0" applyFont="1" applyFill="1" applyBorder="1" applyAlignment="1">
      <alignment horizontal="center" vertical="center" wrapText="1"/>
    </xf>
    <xf numFmtId="0" fontId="0" fillId="4" borderId="4" xfId="0" applyFont="1" applyFill="1" applyBorder="1" applyAlignment="1" applyProtection="1">
      <alignment vertical="center"/>
      <protection locked="0"/>
    </xf>
    <xf numFmtId="0" fontId="0" fillId="4" borderId="10" xfId="0" applyFont="1" applyFill="1" applyBorder="1" applyAlignment="1" applyProtection="1">
      <alignment vertical="center"/>
      <protection locked="0"/>
    </xf>
    <xf numFmtId="0" fontId="7" fillId="3" borderId="1" xfId="0" applyFont="1" applyFill="1" applyBorder="1" applyAlignment="1">
      <alignment horizontal="center"/>
    </xf>
    <xf numFmtId="2" fontId="0" fillId="4" borderId="4" xfId="0" applyNumberFormat="1" applyFill="1" applyBorder="1" applyAlignment="1" applyProtection="1">
      <alignment vertical="center"/>
      <protection locked="0"/>
    </xf>
    <xf numFmtId="2" fontId="0" fillId="4" borderId="10" xfId="0" applyNumberFormat="1" applyFill="1" applyBorder="1" applyAlignment="1" applyProtection="1">
      <alignment vertical="center"/>
      <protection locked="0"/>
    </xf>
    <xf numFmtId="0" fontId="0" fillId="3" borderId="13" xfId="0" applyFont="1" applyFill="1" applyBorder="1" applyAlignment="1">
      <alignment vertical="center"/>
    </xf>
    <xf numFmtId="0" fontId="0" fillId="3" borderId="7" xfId="0" applyFont="1" applyFill="1" applyBorder="1" applyAlignment="1">
      <alignment vertical="center"/>
    </xf>
    <xf numFmtId="0" fontId="0" fillId="4" borderId="4"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3" xfId="0" applyFont="1" applyFill="1" applyBorder="1" applyAlignment="1" applyProtection="1">
      <alignment vertical="center"/>
      <protection locked="0"/>
    </xf>
    <xf numFmtId="0" fontId="0" fillId="4" borderId="11" xfId="0" applyFont="1" applyFill="1" applyBorder="1" applyAlignment="1" applyProtection="1">
      <alignment vertical="center"/>
      <protection locked="0"/>
    </xf>
    <xf numFmtId="0" fontId="7" fillId="3" borderId="1" xfId="0" applyFont="1" applyFill="1" applyBorder="1" applyAlignment="1">
      <alignment horizontal="center" vertical="center"/>
    </xf>
    <xf numFmtId="0" fontId="5" fillId="3" borderId="4" xfId="0" applyFont="1" applyFill="1" applyBorder="1" applyAlignment="1">
      <alignment vertical="center"/>
    </xf>
    <xf numFmtId="0" fontId="5" fillId="3" borderId="10" xfId="0" applyFont="1" applyFill="1" applyBorder="1" applyAlignment="1">
      <alignment vertical="center"/>
    </xf>
    <xf numFmtId="0" fontId="0" fillId="4" borderId="6"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9" fontId="0" fillId="4" borderId="4"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9" fontId="0" fillId="3" borderId="2" xfId="0" applyNumberForma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4" borderId="4"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8" fillId="3" borderId="10" xfId="0" applyFont="1" applyFill="1" applyBorder="1" applyAlignment="1">
      <alignment vertical="center"/>
    </xf>
    <xf numFmtId="0" fontId="8" fillId="3" borderId="5" xfId="0" applyFont="1" applyFill="1" applyBorder="1" applyAlignment="1">
      <alignment vertical="center"/>
    </xf>
    <xf numFmtId="0" fontId="0" fillId="3" borderId="6"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5" fillId="3" borderId="5" xfId="0" applyFont="1" applyFill="1" applyBorder="1" applyAlignment="1">
      <alignment vertical="center"/>
    </xf>
    <xf numFmtId="164" fontId="0" fillId="3" borderId="4" xfId="0" applyNumberFormat="1" applyFont="1" applyFill="1" applyBorder="1" applyAlignment="1">
      <alignment horizontal="center" vertical="center"/>
    </xf>
    <xf numFmtId="164" fontId="0" fillId="3" borderId="10" xfId="0" applyNumberFormat="1" applyFont="1" applyFill="1" applyBorder="1" applyAlignment="1">
      <alignment horizontal="center" vertical="center"/>
    </xf>
    <xf numFmtId="164" fontId="0" fillId="3" borderId="5" xfId="0" applyNumberFormat="1" applyFont="1" applyFill="1" applyBorder="1" applyAlignment="1">
      <alignment horizontal="center" vertical="center"/>
    </xf>
    <xf numFmtId="0" fontId="0" fillId="5" borderId="4"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0" fillId="5" borderId="5"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0" fontId="0" fillId="6" borderId="10" xfId="0" applyFont="1" applyFill="1" applyBorder="1" applyAlignment="1" applyProtection="1">
      <alignment horizontal="center" vertical="center"/>
      <protection locked="0"/>
    </xf>
    <xf numFmtId="0" fontId="0" fillId="6" borderId="5" xfId="0" applyFont="1" applyFill="1" applyBorder="1" applyAlignment="1" applyProtection="1">
      <alignment horizontal="center" vertical="center"/>
      <protection locked="0"/>
    </xf>
    <xf numFmtId="1" fontId="0" fillId="3" borderId="4" xfId="0" applyNumberFormat="1" applyFill="1" applyBorder="1" applyAlignment="1">
      <alignment vertical="center"/>
    </xf>
    <xf numFmtId="1" fontId="0" fillId="3" borderId="10" xfId="0" applyNumberFormat="1" applyFill="1" applyBorder="1" applyAlignment="1">
      <alignment vertical="center"/>
    </xf>
    <xf numFmtId="9" fontId="0" fillId="6" borderId="4" xfId="0" applyNumberFormat="1" applyFill="1" applyBorder="1" applyAlignment="1" applyProtection="1">
      <alignment horizontal="center" vertical="center"/>
      <protection locked="0"/>
    </xf>
    <xf numFmtId="9" fontId="0" fillId="6" borderId="10" xfId="0" applyNumberFormat="1" applyFill="1" applyBorder="1" applyAlignment="1" applyProtection="1">
      <alignment horizontal="center" vertical="center"/>
      <protection locked="0"/>
    </xf>
    <xf numFmtId="9" fontId="0" fillId="6" borderId="5" xfId="0" applyNumberFormat="1" applyFill="1" applyBorder="1" applyAlignment="1" applyProtection="1">
      <alignment horizontal="center" vertical="center"/>
      <protection locked="0"/>
    </xf>
    <xf numFmtId="164" fontId="0" fillId="4" borderId="4"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0" fontId="0" fillId="2" borderId="2" xfId="0" applyFill="1" applyBorder="1" applyAlignment="1">
      <alignment horizontal="right"/>
    </xf>
    <xf numFmtId="0" fontId="1" fillId="2" borderId="17" xfId="0" applyFont="1" applyFill="1" applyBorder="1" applyAlignment="1">
      <alignment horizontal="center"/>
    </xf>
    <xf numFmtId="0" fontId="0" fillId="5" borderId="4"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10" xfId="0" applyFill="1" applyBorder="1" applyAlignment="1">
      <alignment vertical="center"/>
    </xf>
    <xf numFmtId="0" fontId="0" fillId="5" borderId="5" xfId="0" applyFill="1" applyBorder="1" applyAlignment="1">
      <alignment vertical="center"/>
    </xf>
    <xf numFmtId="2" fontId="0" fillId="0" borderId="4"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5" xfId="0" applyNumberFormat="1" applyFont="1" applyBorder="1" applyAlignment="1">
      <alignment horizontal="center" vertical="center"/>
    </xf>
    <xf numFmtId="9" fontId="0" fillId="0" borderId="4" xfId="0" applyNumberFormat="1" applyBorder="1" applyAlignment="1">
      <alignment horizontal="center" vertical="center"/>
    </xf>
    <xf numFmtId="9" fontId="0" fillId="0" borderId="10" xfId="0" applyNumberFormat="1" applyBorder="1" applyAlignment="1">
      <alignment horizontal="center" vertical="center"/>
    </xf>
    <xf numFmtId="9" fontId="0" fillId="0" borderId="5" xfId="0" applyNumberFormat="1" applyBorder="1" applyAlignment="1">
      <alignment horizontal="center" vertical="center"/>
    </xf>
    <xf numFmtId="1" fontId="0" fillId="6" borderId="4" xfId="0" applyNumberFormat="1" applyFill="1" applyBorder="1" applyAlignment="1" applyProtection="1">
      <alignment horizontal="center" vertical="center"/>
      <protection locked="0"/>
    </xf>
    <xf numFmtId="1" fontId="0" fillId="6" borderId="10" xfId="0" applyNumberFormat="1" applyFill="1" applyBorder="1" applyAlignment="1" applyProtection="1">
      <alignment horizontal="center" vertical="center"/>
      <protection locked="0"/>
    </xf>
    <xf numFmtId="1" fontId="0" fillId="6" borderId="5" xfId="0" applyNumberFormat="1" applyFill="1" applyBorder="1" applyAlignment="1" applyProtection="1">
      <alignment horizontal="center" vertical="center"/>
      <protection locked="0"/>
    </xf>
  </cellXfs>
  <cellStyles count="1">
    <cellStyle name="Normal" xfId="0" builtinId="0"/>
  </cellStyles>
  <dxfs count="15">
    <dxf>
      <fill>
        <patternFill>
          <bgColor rgb="FFFF0000"/>
        </patternFill>
      </fill>
    </dxf>
    <dxf>
      <fill>
        <patternFill>
          <bgColor rgb="FFFF0000"/>
        </patternFill>
      </fill>
    </dxf>
    <dxf>
      <fill>
        <patternFill patternType="darkGray"/>
      </fill>
    </dxf>
    <dxf>
      <fill>
        <patternFill>
          <bgColor rgb="FFFFFF00"/>
        </patternFill>
      </fill>
    </dxf>
    <dxf>
      <fill>
        <patternFill patternType="solid">
          <bgColor rgb="FFFFC000"/>
        </patternFill>
      </fill>
    </dxf>
    <dxf>
      <font>
        <color auto="1"/>
      </font>
      <fill>
        <patternFill patternType="darkGray"/>
      </fill>
    </dxf>
    <dxf>
      <fill>
        <patternFill patternType="darkGray">
          <bgColor theme="0"/>
        </patternFill>
      </fill>
    </dxf>
    <dxf>
      <fill>
        <patternFill patternType="darkGray"/>
      </fill>
    </dxf>
    <dxf>
      <fill>
        <patternFill patternType="darkGray"/>
      </fill>
    </dxf>
    <dxf>
      <fill>
        <patternFill patternType="solid">
          <bgColor rgb="FFFFC000"/>
        </patternFill>
      </fill>
    </dxf>
    <dxf>
      <fill>
        <patternFill patternType="darkGray"/>
      </fill>
    </dxf>
    <dxf>
      <fill>
        <patternFill patternType="solid">
          <bgColor theme="0" tint="-4.9989318521683403E-2"/>
        </patternFill>
      </fill>
    </dxf>
    <dxf>
      <font>
        <color auto="1"/>
      </font>
      <fill>
        <patternFill>
          <bgColor rgb="FFFF000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6"/>
  <sheetViews>
    <sheetView showGridLines="0" tabSelected="1" view="pageLayout" zoomScale="120" zoomScaleNormal="120" zoomScaleSheetLayoutView="100" zoomScalePageLayoutView="120" workbookViewId="0">
      <selection activeCell="C2" sqref="C2:D2"/>
    </sheetView>
  </sheetViews>
  <sheetFormatPr defaultColWidth="9.140625" defaultRowHeight="15" x14ac:dyDescent="0.25"/>
  <cols>
    <col min="1" max="1" width="3.5703125" customWidth="1"/>
    <col min="2" max="2" width="49.5703125" style="1" customWidth="1"/>
    <col min="3" max="6" width="7.5703125" customWidth="1"/>
    <col min="7" max="7" width="9.140625" hidden="1" customWidth="1"/>
    <col min="8" max="8" width="13" hidden="1" customWidth="1"/>
    <col min="9" max="10" width="11.85546875" hidden="1" customWidth="1"/>
    <col min="11" max="11" width="10.7109375" hidden="1" customWidth="1"/>
    <col min="12" max="19" width="9.140625" hidden="1" customWidth="1"/>
    <col min="20" max="20" width="9.5703125" hidden="1" customWidth="1"/>
    <col min="21" max="22" width="10.42578125" hidden="1" customWidth="1"/>
    <col min="23" max="27" width="9.140625" hidden="1" customWidth="1"/>
    <col min="28" max="28" width="3.140625" customWidth="1"/>
  </cols>
  <sheetData>
    <row r="1" spans="1:31" ht="12.95" customHeight="1" thickBot="1" x14ac:dyDescent="0.3">
      <c r="A1" s="34"/>
      <c r="B1" s="88" t="s">
        <v>120</v>
      </c>
      <c r="C1" s="88"/>
      <c r="D1" s="88"/>
      <c r="E1" s="88"/>
      <c r="F1" s="88"/>
      <c r="G1" s="34"/>
      <c r="H1" s="84" t="s">
        <v>39</v>
      </c>
      <c r="I1" s="84"/>
      <c r="J1" s="84"/>
      <c r="K1" s="84"/>
      <c r="L1" s="84"/>
      <c r="M1" s="84"/>
      <c r="N1" s="84"/>
      <c r="O1" s="84"/>
      <c r="P1" s="84"/>
      <c r="Q1" s="84"/>
      <c r="R1" s="84"/>
      <c r="S1" s="84"/>
      <c r="T1" s="84"/>
      <c r="U1" s="84"/>
      <c r="V1" s="84"/>
      <c r="W1" s="84"/>
      <c r="X1" s="84"/>
      <c r="Y1" s="84"/>
      <c r="Z1" s="84"/>
      <c r="AA1" s="84"/>
      <c r="AB1" s="34"/>
      <c r="AC1" s="31"/>
      <c r="AD1" s="31"/>
      <c r="AE1" s="31"/>
    </row>
    <row r="2" spans="1:31" ht="12.95" customHeight="1" x14ac:dyDescent="0.25">
      <c r="A2" s="34"/>
      <c r="B2" s="43" t="s">
        <v>87</v>
      </c>
      <c r="C2" s="99">
        <v>80</v>
      </c>
      <c r="D2" s="100"/>
      <c r="E2" s="91" t="s">
        <v>0</v>
      </c>
      <c r="F2" s="92"/>
      <c r="G2" s="34"/>
      <c r="H2" s="35" t="s">
        <v>57</v>
      </c>
      <c r="I2" s="35"/>
      <c r="J2" s="35"/>
      <c r="K2" s="35"/>
      <c r="L2" s="35"/>
      <c r="M2" s="36"/>
      <c r="N2" s="36"/>
      <c r="O2" s="36"/>
      <c r="P2" s="36"/>
      <c r="Q2" s="36"/>
      <c r="R2" s="36"/>
      <c r="S2" s="36"/>
      <c r="T2" s="36"/>
      <c r="U2" s="36"/>
      <c r="V2" s="36"/>
      <c r="W2" s="36"/>
      <c r="X2" s="36"/>
      <c r="Y2" s="36"/>
      <c r="Z2" s="36"/>
      <c r="AA2" s="36"/>
      <c r="AB2" s="34"/>
      <c r="AC2" s="31"/>
      <c r="AD2" s="31"/>
      <c r="AE2" s="31"/>
    </row>
    <row r="3" spans="1:31" ht="12.95" customHeight="1" x14ac:dyDescent="0.25">
      <c r="A3" s="34"/>
      <c r="B3" s="44" t="s">
        <v>40</v>
      </c>
      <c r="C3" s="93">
        <v>4</v>
      </c>
      <c r="D3" s="94"/>
      <c r="E3" s="94"/>
      <c r="F3" s="95"/>
      <c r="H3" s="2"/>
      <c r="I3" s="16" t="s">
        <v>71</v>
      </c>
      <c r="J3" s="9" t="s">
        <v>69</v>
      </c>
      <c r="K3" s="9" t="s">
        <v>38</v>
      </c>
      <c r="L3" s="9" t="s">
        <v>85</v>
      </c>
      <c r="M3" s="9" t="s">
        <v>84</v>
      </c>
      <c r="N3" s="9" t="s">
        <v>61</v>
      </c>
      <c r="O3" s="9" t="s">
        <v>83</v>
      </c>
      <c r="P3" s="9"/>
      <c r="Q3" s="9"/>
      <c r="R3" s="9"/>
      <c r="S3" s="9"/>
      <c r="T3" s="9"/>
      <c r="U3" s="9"/>
      <c r="V3" s="9"/>
      <c r="W3" s="9"/>
      <c r="X3" s="9"/>
      <c r="Y3" s="9"/>
      <c r="Z3" s="9"/>
      <c r="AA3" s="9"/>
      <c r="AC3" s="31"/>
      <c r="AD3" s="31"/>
      <c r="AE3" s="31"/>
    </row>
    <row r="4" spans="1:31" ht="12.95" customHeight="1" x14ac:dyDescent="0.25">
      <c r="A4" s="34"/>
      <c r="B4" s="44" t="s">
        <v>47</v>
      </c>
      <c r="C4" s="86">
        <v>330</v>
      </c>
      <c r="D4" s="87"/>
      <c r="E4" s="82" t="s">
        <v>0</v>
      </c>
      <c r="F4" s="83"/>
      <c r="H4" s="16" t="s">
        <v>73</v>
      </c>
      <c r="I4" s="9">
        <v>1</v>
      </c>
      <c r="J4" s="9">
        <f>I4+1</f>
        <v>2</v>
      </c>
      <c r="K4" s="9">
        <f t="shared" ref="K4:O4" si="0">J4+1</f>
        <v>3</v>
      </c>
      <c r="L4" s="9">
        <f t="shared" si="0"/>
        <v>4</v>
      </c>
      <c r="M4" s="9">
        <f t="shared" si="0"/>
        <v>5</v>
      </c>
      <c r="N4" s="9">
        <f t="shared" si="0"/>
        <v>6</v>
      </c>
      <c r="O4" s="9">
        <f t="shared" si="0"/>
        <v>7</v>
      </c>
      <c r="P4" s="9"/>
      <c r="Q4" s="9"/>
      <c r="R4" s="9"/>
      <c r="S4" s="9"/>
      <c r="T4" s="9"/>
      <c r="U4" s="9"/>
      <c r="V4" s="9"/>
      <c r="W4" s="9"/>
      <c r="X4" s="9"/>
      <c r="Y4" s="9"/>
      <c r="Z4" s="9"/>
      <c r="AA4" s="9"/>
      <c r="AC4" s="31"/>
      <c r="AD4" s="31"/>
      <c r="AE4" s="31"/>
    </row>
    <row r="5" spans="1:31" ht="12.95" customHeight="1" x14ac:dyDescent="0.25">
      <c r="A5" s="34"/>
      <c r="B5" s="43" t="s">
        <v>119</v>
      </c>
      <c r="C5" s="102">
        <f>C4+C3*C2</f>
        <v>650</v>
      </c>
      <c r="D5" s="103"/>
      <c r="E5" s="103" t="s">
        <v>0</v>
      </c>
      <c r="F5" s="124"/>
      <c r="H5" s="16" t="s">
        <v>59</v>
      </c>
      <c r="I5" s="26">
        <f>C21</f>
        <v>8.5000000000000006E-2</v>
      </c>
      <c r="J5" s="26">
        <v>0.2</v>
      </c>
      <c r="K5" s="26">
        <v>0.4</v>
      </c>
      <c r="L5" s="26">
        <v>0.18</v>
      </c>
      <c r="M5" s="9" t="s">
        <v>46</v>
      </c>
      <c r="N5" s="26">
        <v>0.4</v>
      </c>
      <c r="O5" s="9" t="s">
        <v>46</v>
      </c>
      <c r="P5" s="9"/>
      <c r="Q5" s="9"/>
      <c r="R5" s="9"/>
      <c r="S5" s="9"/>
      <c r="T5" s="9"/>
      <c r="U5" s="9"/>
      <c r="V5" s="9"/>
      <c r="W5" s="9"/>
      <c r="X5" s="9"/>
      <c r="Y5" s="9"/>
      <c r="Z5" s="9"/>
      <c r="AA5" s="9"/>
      <c r="AC5" s="31"/>
      <c r="AD5" s="31"/>
      <c r="AE5" s="31"/>
    </row>
    <row r="6" spans="1:31" ht="12.95" customHeight="1" x14ac:dyDescent="0.25">
      <c r="A6" s="34"/>
      <c r="B6" s="45"/>
      <c r="C6" s="45"/>
      <c r="D6" s="46"/>
      <c r="E6" s="47"/>
      <c r="F6" s="46"/>
      <c r="H6" s="16" t="s">
        <v>58</v>
      </c>
      <c r="I6" s="26">
        <f>I5</f>
        <v>8.5000000000000006E-2</v>
      </c>
      <c r="J6" s="26">
        <v>0.05</v>
      </c>
      <c r="K6" s="26">
        <v>0.15</v>
      </c>
      <c r="L6" s="26">
        <v>7.0000000000000007E-2</v>
      </c>
      <c r="M6" s="9" t="s">
        <v>46</v>
      </c>
      <c r="N6" s="26">
        <v>0.15</v>
      </c>
      <c r="O6" s="9" t="s">
        <v>46</v>
      </c>
      <c r="P6" s="9"/>
      <c r="Q6" s="9"/>
      <c r="R6" s="9"/>
      <c r="S6" s="9"/>
      <c r="T6" s="9"/>
      <c r="U6" s="9"/>
      <c r="V6" s="9"/>
      <c r="W6" s="9"/>
      <c r="X6" s="9"/>
      <c r="Y6" s="9"/>
      <c r="Z6" s="9"/>
      <c r="AA6" s="9"/>
      <c r="AC6" s="31"/>
      <c r="AD6" s="31"/>
      <c r="AE6" s="31"/>
    </row>
    <row r="7" spans="1:31" ht="12.95" customHeight="1" thickBot="1" x14ac:dyDescent="0.3">
      <c r="A7" s="34"/>
      <c r="B7" s="101" t="s">
        <v>68</v>
      </c>
      <c r="C7" s="101"/>
      <c r="D7" s="101"/>
      <c r="E7" s="101"/>
      <c r="F7" s="101"/>
      <c r="H7" s="16" t="s">
        <v>60</v>
      </c>
      <c r="I7" s="26">
        <f>I6</f>
        <v>8.5000000000000006E-2</v>
      </c>
      <c r="J7" s="26">
        <v>0.3</v>
      </c>
      <c r="K7" s="26">
        <v>0.5</v>
      </c>
      <c r="L7" s="26">
        <v>0.23</v>
      </c>
      <c r="M7" s="26">
        <v>0.46</v>
      </c>
      <c r="N7" s="26">
        <v>0.5</v>
      </c>
      <c r="O7" s="26">
        <v>0.35</v>
      </c>
      <c r="P7" s="9"/>
      <c r="Q7" s="9"/>
      <c r="R7" s="9"/>
      <c r="S7" s="9"/>
      <c r="T7" s="9"/>
      <c r="U7" s="9"/>
      <c r="V7" s="9"/>
      <c r="W7" s="9"/>
      <c r="X7" s="9"/>
      <c r="Y7" s="9"/>
      <c r="Z7" s="9"/>
      <c r="AA7" s="9"/>
      <c r="AC7" s="31"/>
      <c r="AD7" s="31"/>
      <c r="AE7" s="31"/>
    </row>
    <row r="8" spans="1:31" ht="12.95" customHeight="1" x14ac:dyDescent="0.25">
      <c r="A8" s="34"/>
      <c r="B8" s="48" t="s">
        <v>97</v>
      </c>
      <c r="C8" s="104" t="s">
        <v>28</v>
      </c>
      <c r="D8" s="105"/>
      <c r="E8" s="105"/>
      <c r="F8" s="106"/>
      <c r="H8" s="16" t="s">
        <v>64</v>
      </c>
      <c r="I8" s="26">
        <f>I7</f>
        <v>8.5000000000000006E-2</v>
      </c>
      <c r="J8" s="26">
        <v>0.1</v>
      </c>
      <c r="K8" s="26">
        <v>0.25</v>
      </c>
      <c r="L8" s="26">
        <v>0.115</v>
      </c>
      <c r="M8" s="9" t="s">
        <v>46</v>
      </c>
      <c r="N8" s="26">
        <v>0.25</v>
      </c>
      <c r="O8" s="9" t="s">
        <v>46</v>
      </c>
      <c r="P8" s="9"/>
      <c r="Q8" s="9"/>
      <c r="R8" s="9"/>
      <c r="S8" s="9"/>
      <c r="T8" s="9"/>
      <c r="U8" s="9"/>
      <c r="V8" s="9"/>
      <c r="W8" s="9"/>
      <c r="X8" s="9"/>
      <c r="Y8" s="9"/>
      <c r="Z8" s="9"/>
      <c r="AA8" s="9"/>
      <c r="AC8" s="31"/>
      <c r="AD8" s="31"/>
      <c r="AE8" s="31"/>
    </row>
    <row r="9" spans="1:31" ht="12.95" customHeight="1" x14ac:dyDescent="0.25">
      <c r="A9" s="34"/>
      <c r="B9" s="49" t="s">
        <v>88</v>
      </c>
      <c r="C9" s="125">
        <f>LOOKUP(C8,R13:S36,T13:T36)</f>
        <v>8</v>
      </c>
      <c r="D9" s="126"/>
      <c r="E9" s="126"/>
      <c r="F9" s="127"/>
      <c r="H9" s="16" t="s">
        <v>91</v>
      </c>
      <c r="I9" s="38">
        <v>1</v>
      </c>
      <c r="J9" s="38">
        <v>2</v>
      </c>
      <c r="K9" s="38">
        <v>3</v>
      </c>
      <c r="L9" s="38">
        <v>4</v>
      </c>
      <c r="M9" s="38">
        <v>5</v>
      </c>
      <c r="N9" s="38">
        <v>5</v>
      </c>
      <c r="O9" s="38">
        <v>6</v>
      </c>
      <c r="P9" s="38"/>
      <c r="Q9" s="38"/>
      <c r="R9" s="38"/>
      <c r="S9" s="38"/>
      <c r="T9" s="38"/>
      <c r="U9" s="38"/>
      <c r="V9" s="38"/>
      <c r="W9" s="38"/>
      <c r="X9" s="38"/>
      <c r="Y9" s="38"/>
      <c r="Z9" s="38"/>
      <c r="AA9" s="38"/>
      <c r="AC9" s="31"/>
      <c r="AD9" s="31"/>
      <c r="AE9" s="31"/>
    </row>
    <row r="10" spans="1:31" ht="12.95" customHeight="1" x14ac:dyDescent="0.25">
      <c r="A10" s="34"/>
      <c r="B10" s="50" t="s">
        <v>89</v>
      </c>
      <c r="C10" s="128">
        <v>2</v>
      </c>
      <c r="D10" s="129"/>
      <c r="E10" s="129"/>
      <c r="F10" s="130"/>
      <c r="H10" s="32"/>
      <c r="I10" s="32"/>
      <c r="J10" s="32"/>
      <c r="K10" s="32"/>
      <c r="L10" s="32"/>
      <c r="M10" s="32"/>
      <c r="N10" s="32"/>
      <c r="O10" s="32"/>
      <c r="P10" s="32"/>
      <c r="Q10" s="32"/>
      <c r="R10" s="32"/>
      <c r="S10" s="32"/>
      <c r="T10" s="32"/>
      <c r="U10" s="32"/>
      <c r="V10" s="32"/>
      <c r="W10" s="32"/>
      <c r="X10" s="32"/>
      <c r="Y10" s="32"/>
      <c r="Z10" s="32"/>
      <c r="AA10" s="32"/>
      <c r="AC10" s="31"/>
      <c r="AD10" s="31"/>
      <c r="AE10" s="31"/>
    </row>
    <row r="11" spans="1:31" ht="12.95" customHeight="1" x14ac:dyDescent="0.25">
      <c r="A11" s="34"/>
      <c r="B11" s="51" t="s">
        <v>74</v>
      </c>
      <c r="C11" s="143">
        <v>60</v>
      </c>
      <c r="D11" s="144"/>
      <c r="E11" s="145" t="s">
        <v>2</v>
      </c>
      <c r="F11" s="146"/>
      <c r="H11" s="16" t="s">
        <v>40</v>
      </c>
      <c r="I11" s="16" t="s">
        <v>41</v>
      </c>
      <c r="J11" s="16" t="s">
        <v>42</v>
      </c>
      <c r="K11" s="31"/>
      <c r="L11" s="16" t="s">
        <v>43</v>
      </c>
      <c r="M11" s="16" t="s">
        <v>44</v>
      </c>
      <c r="N11" s="16" t="s">
        <v>45</v>
      </c>
      <c r="O11" s="31"/>
      <c r="P11" s="16" t="s">
        <v>5</v>
      </c>
      <c r="R11" s="85" t="s">
        <v>18</v>
      </c>
      <c r="S11" s="85"/>
      <c r="T11" s="6" t="s">
        <v>19</v>
      </c>
      <c r="U11" s="6" t="s">
        <v>20</v>
      </c>
      <c r="V11" s="142" t="s">
        <v>90</v>
      </c>
      <c r="X11" s="16" t="s">
        <v>7</v>
      </c>
      <c r="Y11" s="16" t="s">
        <v>12</v>
      </c>
      <c r="Z11" s="16" t="s">
        <v>16</v>
      </c>
      <c r="AC11" s="31"/>
      <c r="AD11" s="31"/>
      <c r="AE11" s="31"/>
    </row>
    <row r="12" spans="1:31" ht="12.95" customHeight="1" x14ac:dyDescent="0.25">
      <c r="A12" s="34"/>
      <c r="B12" s="52" t="s">
        <v>96</v>
      </c>
      <c r="C12" s="77">
        <f>LOOKUP(C8,R13:R36,U13:U36*(C5/1000))</f>
        <v>19.5</v>
      </c>
      <c r="D12" s="78"/>
      <c r="E12" s="79" t="s">
        <v>2</v>
      </c>
      <c r="F12" s="80"/>
      <c r="H12" s="16">
        <v>3</v>
      </c>
      <c r="I12" s="30">
        <v>2.75E-2</v>
      </c>
      <c r="J12" s="30">
        <v>3.5999999999999997E-2</v>
      </c>
      <c r="K12" s="31"/>
      <c r="L12" s="16">
        <v>175.5</v>
      </c>
      <c r="M12" s="27">
        <v>0.65</v>
      </c>
      <c r="N12" s="29" t="s">
        <v>46</v>
      </c>
      <c r="O12" s="31"/>
      <c r="P12" s="16" t="s">
        <v>6</v>
      </c>
      <c r="R12" s="85"/>
      <c r="S12" s="85"/>
      <c r="T12" s="5" t="s">
        <v>21</v>
      </c>
      <c r="U12" s="6" t="s">
        <v>22</v>
      </c>
      <c r="V12" s="142"/>
      <c r="X12" s="16" t="s">
        <v>8</v>
      </c>
      <c r="Y12" s="27">
        <v>0.85</v>
      </c>
      <c r="Z12" s="28">
        <v>2</v>
      </c>
      <c r="AC12" s="31"/>
      <c r="AD12" s="31"/>
      <c r="AE12" s="31"/>
    </row>
    <row r="13" spans="1:31" ht="12.95" customHeight="1" x14ac:dyDescent="0.25">
      <c r="A13" s="34"/>
      <c r="B13" s="53" t="s">
        <v>17</v>
      </c>
      <c r="C13" s="96" t="s">
        <v>9</v>
      </c>
      <c r="D13" s="97"/>
      <c r="E13" s="97"/>
      <c r="F13" s="98"/>
      <c r="H13" s="16">
        <v>3.5</v>
      </c>
      <c r="I13" s="30">
        <v>0.01</v>
      </c>
      <c r="J13" s="30">
        <v>2.1999999999999999E-2</v>
      </c>
      <c r="K13" s="31"/>
      <c r="L13" s="16">
        <v>165.5</v>
      </c>
      <c r="M13" s="27">
        <v>0.75</v>
      </c>
      <c r="N13" s="27">
        <v>0.65</v>
      </c>
      <c r="O13" s="31"/>
      <c r="P13" s="31"/>
      <c r="R13" s="7" t="s">
        <v>71</v>
      </c>
      <c r="S13" s="10"/>
      <c r="T13" s="33">
        <f>C10</f>
        <v>2</v>
      </c>
      <c r="U13" s="9">
        <f>C11/(C48/1000)</f>
        <v>104.52961672473869</v>
      </c>
      <c r="V13" s="37">
        <v>1</v>
      </c>
      <c r="X13" s="16" t="s">
        <v>9</v>
      </c>
      <c r="Y13" s="27">
        <v>1</v>
      </c>
      <c r="Z13" s="28">
        <v>1</v>
      </c>
      <c r="AC13" s="31"/>
      <c r="AD13" s="31"/>
      <c r="AE13" s="31"/>
    </row>
    <row r="14" spans="1:31" ht="12.95" customHeight="1" x14ac:dyDescent="0.25">
      <c r="A14" s="34"/>
      <c r="B14" s="56" t="s">
        <v>3</v>
      </c>
      <c r="C14" s="89">
        <v>6.7</v>
      </c>
      <c r="D14" s="90"/>
      <c r="E14" s="79" t="s">
        <v>4</v>
      </c>
      <c r="F14" s="80"/>
      <c r="H14" s="16">
        <v>4</v>
      </c>
      <c r="I14" s="30">
        <v>7.4999999999999997E-3</v>
      </c>
      <c r="J14" s="30">
        <v>1.7500000000000002E-2</v>
      </c>
      <c r="K14" s="31"/>
      <c r="L14" s="16">
        <v>155.5</v>
      </c>
      <c r="M14" s="27">
        <v>0.85</v>
      </c>
      <c r="N14" s="27">
        <v>0.7</v>
      </c>
      <c r="O14" s="31"/>
      <c r="P14" s="31"/>
      <c r="R14" s="7" t="s">
        <v>23</v>
      </c>
      <c r="S14" s="8"/>
      <c r="T14" s="9">
        <v>11</v>
      </c>
      <c r="U14" s="9">
        <v>90</v>
      </c>
      <c r="V14" s="37">
        <v>2</v>
      </c>
      <c r="X14" s="16" t="s">
        <v>10</v>
      </c>
      <c r="Y14" s="27">
        <v>0.9</v>
      </c>
      <c r="Z14" s="28">
        <v>1</v>
      </c>
      <c r="AC14" s="31"/>
      <c r="AD14" s="31"/>
      <c r="AE14" s="31"/>
    </row>
    <row r="15" spans="1:31" ht="12.95" customHeight="1" x14ac:dyDescent="0.25">
      <c r="A15" s="34"/>
      <c r="B15" s="53" t="s">
        <v>14</v>
      </c>
      <c r="C15" s="139">
        <v>50</v>
      </c>
      <c r="D15" s="140"/>
      <c r="E15" s="79" t="s">
        <v>15</v>
      </c>
      <c r="F15" s="80"/>
      <c r="H15" s="16">
        <v>5</v>
      </c>
      <c r="I15" s="30">
        <v>5.0000000000000001E-3</v>
      </c>
      <c r="J15" s="30">
        <v>5.0000000000000001E-3</v>
      </c>
      <c r="K15" s="31"/>
      <c r="L15" s="16">
        <v>145.5</v>
      </c>
      <c r="M15" s="27">
        <v>0.85</v>
      </c>
      <c r="N15" s="27">
        <v>0.7</v>
      </c>
      <c r="O15" s="31"/>
      <c r="P15" s="31"/>
      <c r="R15" s="24" t="s">
        <v>62</v>
      </c>
      <c r="S15" s="25"/>
      <c r="T15" s="20">
        <v>8.1999999999999993</v>
      </c>
      <c r="U15" s="9">
        <v>27</v>
      </c>
      <c r="V15" s="37"/>
      <c r="X15" s="16" t="s">
        <v>11</v>
      </c>
      <c r="Y15" s="27">
        <v>0.9</v>
      </c>
      <c r="Z15" s="28">
        <v>2</v>
      </c>
      <c r="AC15" s="31"/>
      <c r="AD15" s="31"/>
      <c r="AE15" s="31"/>
    </row>
    <row r="16" spans="1:31" ht="12.95" customHeight="1" x14ac:dyDescent="0.25">
      <c r="A16" s="34"/>
      <c r="B16" s="56" t="s">
        <v>81</v>
      </c>
      <c r="C16" s="77">
        <f>C15*C14</f>
        <v>335</v>
      </c>
      <c r="D16" s="78"/>
      <c r="E16" s="79" t="s">
        <v>1</v>
      </c>
      <c r="F16" s="80"/>
      <c r="H16" s="2"/>
      <c r="I16" s="3"/>
      <c r="J16" s="3"/>
      <c r="K16" s="31"/>
      <c r="L16" s="16">
        <v>140.5</v>
      </c>
      <c r="M16" s="27">
        <v>0.85</v>
      </c>
      <c r="N16" s="27">
        <v>0.7</v>
      </c>
      <c r="O16" s="31"/>
      <c r="P16" s="31"/>
      <c r="R16" s="11" t="s">
        <v>24</v>
      </c>
      <c r="S16" s="12"/>
      <c r="T16" s="9">
        <v>9.9</v>
      </c>
      <c r="U16" s="9">
        <v>50</v>
      </c>
      <c r="V16" s="37"/>
      <c r="AC16" s="31"/>
      <c r="AD16" s="31"/>
      <c r="AE16" s="31"/>
    </row>
    <row r="17" spans="1:31" ht="12.95" customHeight="1" x14ac:dyDescent="0.25">
      <c r="A17" s="34"/>
      <c r="B17" s="57"/>
      <c r="C17" s="58"/>
      <c r="D17" s="58"/>
      <c r="E17" s="58"/>
      <c r="F17" s="58"/>
      <c r="I17" s="4"/>
      <c r="J17" s="4"/>
      <c r="K17" s="31"/>
      <c r="R17" s="11" t="s">
        <v>126</v>
      </c>
      <c r="S17" s="12"/>
      <c r="T17" s="13">
        <v>13</v>
      </c>
      <c r="U17" s="9">
        <v>15</v>
      </c>
      <c r="V17" s="37"/>
      <c r="AC17" s="31"/>
      <c r="AD17" s="31"/>
      <c r="AE17" s="31"/>
    </row>
    <row r="18" spans="1:31" ht="12.95" customHeight="1" thickBot="1" x14ac:dyDescent="0.3">
      <c r="A18" s="34"/>
      <c r="B18" s="101" t="s">
        <v>98</v>
      </c>
      <c r="C18" s="101"/>
      <c r="D18" s="101"/>
      <c r="E18" s="101"/>
      <c r="F18" s="101"/>
      <c r="R18" s="11" t="s">
        <v>25</v>
      </c>
      <c r="S18" s="12"/>
      <c r="T18" s="13">
        <v>16.2</v>
      </c>
      <c r="U18" s="9">
        <v>90</v>
      </c>
      <c r="V18" s="37"/>
      <c r="AC18" s="31"/>
      <c r="AD18" s="31"/>
      <c r="AE18" s="31"/>
    </row>
    <row r="19" spans="1:31" ht="12.95" customHeight="1" x14ac:dyDescent="0.25">
      <c r="A19" s="34"/>
      <c r="B19" s="59" t="s">
        <v>86</v>
      </c>
      <c r="C19" s="104" t="s">
        <v>6</v>
      </c>
      <c r="D19" s="105"/>
      <c r="E19" s="105"/>
      <c r="F19" s="106"/>
      <c r="M19" s="141" t="s">
        <v>94</v>
      </c>
      <c r="N19" s="141"/>
      <c r="O19" s="141"/>
      <c r="P19" s="16" t="b">
        <f>IF(C20=I3, TRUE,IF(HLOOKUP(C20,I3:O9,7,FALSE)=VLOOKUP(C8,R13:V36,5),TRUE,FALSE))</f>
        <v>0</v>
      </c>
      <c r="R19" s="7" t="s">
        <v>70</v>
      </c>
      <c r="S19" s="12"/>
      <c r="T19" s="13">
        <v>15.4</v>
      </c>
      <c r="U19" s="9">
        <v>8</v>
      </c>
      <c r="V19" s="37"/>
      <c r="AC19" s="31"/>
      <c r="AD19" s="31"/>
      <c r="AE19" s="31"/>
    </row>
    <row r="20" spans="1:31" ht="12.95" customHeight="1" x14ac:dyDescent="0.25">
      <c r="A20" s="34"/>
      <c r="B20" s="60" t="s">
        <v>93</v>
      </c>
      <c r="C20" s="131" t="s">
        <v>61</v>
      </c>
      <c r="D20" s="132"/>
      <c r="E20" s="132"/>
      <c r="F20" s="133"/>
      <c r="M20" s="141" t="s">
        <v>94</v>
      </c>
      <c r="N20" s="141"/>
      <c r="O20" s="141"/>
      <c r="P20" s="16" t="b">
        <f>IF(C20=I3,FALSE,IF(HLOOKUP(C20,I3:O9,7,FALSE)=VLOOKUP(C8,R13:V36,5),FALSE,TRUE))</f>
        <v>1</v>
      </c>
      <c r="R20" s="14" t="s">
        <v>26</v>
      </c>
      <c r="S20" s="15"/>
      <c r="T20" s="9">
        <v>9</v>
      </c>
      <c r="U20" s="9">
        <v>37.5</v>
      </c>
      <c r="V20" s="37"/>
      <c r="AC20" s="31"/>
      <c r="AD20" s="31"/>
      <c r="AE20" s="31"/>
    </row>
    <row r="21" spans="1:31" ht="12.95" customHeight="1" x14ac:dyDescent="0.25">
      <c r="A21" s="34"/>
      <c r="B21" s="61" t="s">
        <v>72</v>
      </c>
      <c r="C21" s="136">
        <v>8.5000000000000006E-2</v>
      </c>
      <c r="D21" s="137"/>
      <c r="E21" s="137"/>
      <c r="F21" s="138"/>
      <c r="R21" s="7" t="s">
        <v>66</v>
      </c>
      <c r="S21" s="10"/>
      <c r="T21" s="9">
        <v>30</v>
      </c>
      <c r="U21" s="9">
        <v>4</v>
      </c>
      <c r="V21" s="37"/>
      <c r="AC21" s="31"/>
      <c r="AD21" s="31"/>
      <c r="AE21" s="31"/>
    </row>
    <row r="22" spans="1:31" ht="12.95" customHeight="1" x14ac:dyDescent="0.25">
      <c r="A22" s="34"/>
      <c r="B22" s="62" t="s">
        <v>56</v>
      </c>
      <c r="C22" s="153" t="s">
        <v>59</v>
      </c>
      <c r="D22" s="154"/>
      <c r="E22" s="154"/>
      <c r="F22" s="155"/>
      <c r="R22" s="7" t="s">
        <v>27</v>
      </c>
      <c r="S22" s="10"/>
      <c r="T22" s="9">
        <v>32</v>
      </c>
      <c r="U22" s="9">
        <v>4</v>
      </c>
      <c r="V22" s="37">
        <v>3</v>
      </c>
      <c r="AC22" s="31"/>
      <c r="AD22" s="31"/>
      <c r="AE22" s="31"/>
    </row>
    <row r="23" spans="1:31" ht="12.95" customHeight="1" x14ac:dyDescent="0.25">
      <c r="A23" s="34"/>
      <c r="B23" s="62" t="s">
        <v>92</v>
      </c>
      <c r="C23" s="150">
        <f>VLOOKUP(C22,H5:O8,1+HLOOKUP(C20,I3:O4,2,FALSE),FALSE)</f>
        <v>0.4</v>
      </c>
      <c r="D23" s="151"/>
      <c r="E23" s="151"/>
      <c r="F23" s="152"/>
      <c r="R23" s="17" t="s">
        <v>63</v>
      </c>
      <c r="S23" s="19"/>
      <c r="T23" s="20">
        <v>10</v>
      </c>
      <c r="U23" s="9">
        <v>15</v>
      </c>
      <c r="V23" s="37"/>
      <c r="AC23" s="31"/>
      <c r="AD23" s="31"/>
      <c r="AE23" s="31"/>
    </row>
    <row r="24" spans="1:31" ht="12.95" customHeight="1" x14ac:dyDescent="0.25">
      <c r="A24" s="34"/>
      <c r="B24" s="48" t="s">
        <v>79</v>
      </c>
      <c r="C24" s="147">
        <f>LOOKUP(C8,R13:S36,T13:T36)*C23</f>
        <v>3.2</v>
      </c>
      <c r="D24" s="148"/>
      <c r="E24" s="148"/>
      <c r="F24" s="149"/>
      <c r="R24" s="17" t="s">
        <v>123</v>
      </c>
      <c r="S24" s="19"/>
      <c r="T24" s="20">
        <v>6.8</v>
      </c>
      <c r="U24" s="9">
        <v>10</v>
      </c>
      <c r="V24" s="37"/>
      <c r="AC24" s="31"/>
      <c r="AD24" s="31"/>
      <c r="AE24" s="31"/>
    </row>
    <row r="25" spans="1:31" ht="12.95" customHeight="1" x14ac:dyDescent="0.25">
      <c r="A25" s="34"/>
      <c r="B25" s="63"/>
      <c r="C25" s="45"/>
      <c r="D25" s="45"/>
      <c r="E25" s="64"/>
      <c r="F25" s="64"/>
      <c r="H25" t="s">
        <v>115</v>
      </c>
      <c r="R25" s="7" t="s">
        <v>28</v>
      </c>
      <c r="S25" s="10"/>
      <c r="T25" s="9">
        <v>8</v>
      </c>
      <c r="U25" s="9">
        <v>30</v>
      </c>
      <c r="V25" s="37"/>
      <c r="AC25" s="31"/>
      <c r="AD25" s="31"/>
      <c r="AE25" s="31"/>
    </row>
    <row r="26" spans="1:31" ht="12.95" customHeight="1" thickBot="1" x14ac:dyDescent="0.3">
      <c r="A26" s="34"/>
      <c r="B26" s="101" t="s">
        <v>80</v>
      </c>
      <c r="C26" s="101"/>
      <c r="D26" s="101"/>
      <c r="E26" s="101"/>
      <c r="F26" s="101"/>
      <c r="H26">
        <v>1.01</v>
      </c>
      <c r="I26" t="s">
        <v>116</v>
      </c>
      <c r="R26" s="7" t="s">
        <v>29</v>
      </c>
      <c r="S26" s="10"/>
      <c r="T26" s="9">
        <v>11</v>
      </c>
      <c r="U26" s="9">
        <v>50</v>
      </c>
      <c r="V26" s="37"/>
      <c r="AC26" s="31"/>
      <c r="AD26" s="31"/>
      <c r="AE26" s="31"/>
    </row>
    <row r="27" spans="1:31" ht="12.95" customHeight="1" x14ac:dyDescent="0.25">
      <c r="A27" s="34"/>
      <c r="B27" s="54" t="s">
        <v>99</v>
      </c>
      <c r="C27" s="112">
        <v>25</v>
      </c>
      <c r="D27" s="113"/>
      <c r="E27" s="114" t="s">
        <v>2</v>
      </c>
      <c r="F27" s="115"/>
      <c r="H27">
        <v>1.02</v>
      </c>
      <c r="I27" t="s">
        <v>117</v>
      </c>
      <c r="R27" s="7" t="s">
        <v>30</v>
      </c>
      <c r="S27" s="10"/>
      <c r="T27" s="9">
        <v>6.4</v>
      </c>
      <c r="U27" s="9">
        <v>40</v>
      </c>
      <c r="V27" s="37">
        <v>4</v>
      </c>
      <c r="AC27" s="31"/>
      <c r="AD27" s="31"/>
      <c r="AE27" s="31"/>
    </row>
    <row r="28" spans="1:31" ht="12.95" customHeight="1" x14ac:dyDescent="0.25">
      <c r="A28" s="34"/>
      <c r="B28" s="67" t="s">
        <v>100</v>
      </c>
      <c r="C28" s="134">
        <f>IF(C19=P11,($C$27/($C$5/1000)*LOOKUP($C$8,$R$13:$R$36,($T$13:$T$36)*LOOKUP($C$13,$X$12:$X$15,$Y$12:$Y$15)))*$C$23,(C27/($C$5/1000)*LOOKUP($C$8,$R$13:$R$36,($T$13:$T$36)*LOOKUP($C$13,$X$12:$X$15,$Y$12:$Y$15))))</f>
        <v>307.69230769230768</v>
      </c>
      <c r="D28" s="135"/>
      <c r="E28" s="79" t="s">
        <v>1</v>
      </c>
      <c r="F28" s="80"/>
      <c r="H28">
        <v>1.03</v>
      </c>
      <c r="I28" t="s">
        <v>118</v>
      </c>
      <c r="R28" s="7" t="s">
        <v>31</v>
      </c>
      <c r="S28" s="10"/>
      <c r="T28" s="9">
        <v>4.5</v>
      </c>
      <c r="U28" s="9">
        <v>25</v>
      </c>
      <c r="V28" s="37">
        <v>5</v>
      </c>
      <c r="AC28" s="31"/>
      <c r="AD28" s="31"/>
      <c r="AE28" s="31"/>
    </row>
    <row r="29" spans="1:31" ht="12.95" customHeight="1" x14ac:dyDescent="0.25">
      <c r="A29" s="34"/>
      <c r="B29" s="67" t="s">
        <v>107</v>
      </c>
      <c r="C29" s="116">
        <f>IF(LOOKUP($C$13,$X$12:$X$15,$Z$12:$Z$15)=2,EVEN(ROUNDUP((($C$16)/($C$28/2)),0)),ROUNDUP(((($C$16)/$C$28)),0))</f>
        <v>2</v>
      </c>
      <c r="D29" s="117"/>
      <c r="E29" s="117"/>
      <c r="F29" s="118"/>
      <c r="H29">
        <v>1.04</v>
      </c>
      <c r="I29" t="s">
        <v>124</v>
      </c>
      <c r="R29" s="7" t="s">
        <v>65</v>
      </c>
      <c r="S29" s="10"/>
      <c r="T29" s="9">
        <v>2</v>
      </c>
      <c r="U29" s="9">
        <v>30</v>
      </c>
      <c r="V29" s="37"/>
      <c r="AC29" s="31"/>
      <c r="AD29" s="31"/>
      <c r="AE29" s="31"/>
    </row>
    <row r="30" spans="1:31" ht="12.95" customHeight="1" x14ac:dyDescent="0.25">
      <c r="A30" s="34"/>
      <c r="B30" s="67" t="s">
        <v>104</v>
      </c>
      <c r="C30" s="119">
        <f>$C$29/LOOKUP($C$13,$X$12:$X$15,$Z$12:$Z$15)</f>
        <v>2</v>
      </c>
      <c r="D30" s="120"/>
      <c r="E30" s="120"/>
      <c r="F30" s="121"/>
      <c r="H30">
        <v>1.05</v>
      </c>
      <c r="I30" t="s">
        <v>125</v>
      </c>
      <c r="R30" s="7" t="s">
        <v>32</v>
      </c>
      <c r="S30" s="10"/>
      <c r="T30" s="9">
        <v>6.5</v>
      </c>
      <c r="U30" s="9">
        <v>100</v>
      </c>
      <c r="V30" s="37"/>
      <c r="AC30" s="31"/>
      <c r="AD30" s="31"/>
      <c r="AE30" s="31"/>
    </row>
    <row r="31" spans="1:31" ht="12.95" customHeight="1" x14ac:dyDescent="0.25">
      <c r="A31" s="34"/>
      <c r="B31" s="67" t="s">
        <v>103</v>
      </c>
      <c r="C31" s="77">
        <f>$C$28*$C$30</f>
        <v>615.38461538461536</v>
      </c>
      <c r="D31" s="78"/>
      <c r="E31" s="79" t="s">
        <v>1</v>
      </c>
      <c r="F31" s="80"/>
      <c r="I31" t="s">
        <v>127</v>
      </c>
      <c r="R31" s="7" t="s">
        <v>33</v>
      </c>
      <c r="S31" s="12"/>
      <c r="T31" s="9">
        <v>4.5</v>
      </c>
      <c r="U31" s="9">
        <v>75</v>
      </c>
      <c r="V31" s="37"/>
      <c r="AC31" s="31"/>
      <c r="AD31" s="31"/>
      <c r="AE31" s="31"/>
    </row>
    <row r="32" spans="1:31" ht="12.95" customHeight="1" x14ac:dyDescent="0.25">
      <c r="A32" s="34"/>
      <c r="B32" s="55" t="s">
        <v>113</v>
      </c>
      <c r="C32" s="139">
        <v>23</v>
      </c>
      <c r="D32" s="140"/>
      <c r="E32" s="114" t="s">
        <v>2</v>
      </c>
      <c r="F32" s="115"/>
      <c r="H32">
        <v>1.06</v>
      </c>
      <c r="I32" t="s">
        <v>128</v>
      </c>
      <c r="R32" s="7" t="s">
        <v>34</v>
      </c>
      <c r="S32" s="12"/>
      <c r="T32" s="18">
        <v>25</v>
      </c>
      <c r="U32" s="9">
        <v>10</v>
      </c>
      <c r="V32" s="37"/>
      <c r="AC32" s="31"/>
      <c r="AD32" s="31"/>
      <c r="AE32" s="31"/>
    </row>
    <row r="33" spans="1:31" ht="12.95" customHeight="1" x14ac:dyDescent="0.25">
      <c r="A33" s="34"/>
      <c r="B33" s="65" t="s">
        <v>101</v>
      </c>
      <c r="C33" s="77">
        <f>IF($C$19=$P$11,($C32/($C$5/1000)*LOOKUP($C$8,$R$13:$R$36,($T$13:$T$36)*LOOKUP($C$13,$X$12:$X$15,$Y$12:$Y$15)))*$C$23,($C32/($C$5/1000)*LOOKUP($C$8,$R$13:$R$36,($T$13:$T$36)*LOOKUP($C$13,$X$12:$X$15,$Y$12:$Y$15))))</f>
        <v>283.07692307692309</v>
      </c>
      <c r="D33" s="78"/>
      <c r="E33" s="79" t="s">
        <v>1</v>
      </c>
      <c r="F33" s="80"/>
      <c r="H33">
        <v>1.07</v>
      </c>
      <c r="I33" t="s">
        <v>129</v>
      </c>
      <c r="R33" s="7" t="s">
        <v>35</v>
      </c>
      <c r="S33" s="12"/>
      <c r="T33" s="18">
        <v>4.05</v>
      </c>
      <c r="U33" s="9">
        <v>75</v>
      </c>
      <c r="V33" s="37">
        <v>6</v>
      </c>
      <c r="AC33" s="31"/>
      <c r="AD33" s="31"/>
      <c r="AE33" s="31"/>
    </row>
    <row r="34" spans="1:31" ht="12.95" customHeight="1" x14ac:dyDescent="0.25">
      <c r="A34" s="34"/>
      <c r="B34" s="66" t="s">
        <v>106</v>
      </c>
      <c r="C34" s="116">
        <f>IF(LOOKUP($C$13,$X$12:$X$15,$Z$12:$Z$15)=2,EVEN(ROUNDUP((($C$16)/($C$33/2)),0)),ROUNDUP($C$16/$C$33,0))</f>
        <v>2</v>
      </c>
      <c r="D34" s="117"/>
      <c r="E34" s="117"/>
      <c r="F34" s="118"/>
      <c r="R34" s="7" t="s">
        <v>36</v>
      </c>
      <c r="S34" s="12"/>
      <c r="T34" s="18">
        <v>6</v>
      </c>
      <c r="U34" s="9">
        <v>75</v>
      </c>
      <c r="V34" s="37"/>
      <c r="AC34" s="31"/>
      <c r="AD34" s="31"/>
      <c r="AE34" s="31"/>
    </row>
    <row r="35" spans="1:31" ht="12.95" customHeight="1" x14ac:dyDescent="0.25">
      <c r="A35" s="34"/>
      <c r="B35" s="65" t="s">
        <v>105</v>
      </c>
      <c r="C35" s="119">
        <f>$C$34/LOOKUP($C$13,$X$12:$X$15,$Z$12:$Z$15)</f>
        <v>2</v>
      </c>
      <c r="D35" s="120"/>
      <c r="E35" s="120"/>
      <c r="F35" s="121"/>
      <c r="R35" s="7" t="s">
        <v>67</v>
      </c>
      <c r="S35" s="21"/>
      <c r="T35" s="22">
        <v>40</v>
      </c>
      <c r="U35" s="23">
        <v>4</v>
      </c>
      <c r="V35" s="37"/>
      <c r="AC35" s="31"/>
      <c r="AD35" s="31"/>
      <c r="AE35" s="31"/>
    </row>
    <row r="36" spans="1:31" ht="12.95" customHeight="1" x14ac:dyDescent="0.25">
      <c r="A36" s="34"/>
      <c r="B36" s="65" t="s">
        <v>102</v>
      </c>
      <c r="C36" s="77">
        <f>$C$33*$C$35</f>
        <v>566.15384615384619</v>
      </c>
      <c r="D36" s="78"/>
      <c r="E36" s="79" t="s">
        <v>1</v>
      </c>
      <c r="F36" s="80"/>
      <c r="R36" s="7" t="s">
        <v>37</v>
      </c>
      <c r="S36" s="12"/>
      <c r="T36" s="9">
        <v>4.5</v>
      </c>
      <c r="U36" s="9">
        <v>75</v>
      </c>
      <c r="V36" s="37"/>
      <c r="AC36" s="31"/>
      <c r="AD36" s="31"/>
      <c r="AE36" s="31"/>
    </row>
    <row r="37" spans="1:31" ht="12.95" customHeight="1" x14ac:dyDescent="0.25">
      <c r="A37" s="34"/>
      <c r="B37" s="68" t="s">
        <v>112</v>
      </c>
      <c r="C37" s="77">
        <f>(C16/C31)*C27</f>
        <v>13.609375000000002</v>
      </c>
      <c r="D37" s="78"/>
      <c r="E37" s="79" t="s">
        <v>2</v>
      </c>
      <c r="F37" s="80"/>
      <c r="AC37" s="31"/>
      <c r="AD37" s="31"/>
      <c r="AE37" s="31"/>
    </row>
    <row r="38" spans="1:31" ht="12.95" customHeight="1" x14ac:dyDescent="0.25">
      <c r="A38" s="34"/>
      <c r="B38" s="68" t="s">
        <v>82</v>
      </c>
      <c r="C38" s="77">
        <f>IF($C$19=$P$11,($C37/($C$5/1000)*LOOKUP($C$8,$R$13:$R$36,($T$13:$T$36)*LOOKUP($C$13,$X$12:$X$15,$Y$12:$Y$15)))*$C$23,($C37/($C$5/1000)*LOOKUP($C$8,$R$13:$R$36,($T$13:$T$36)*LOOKUP($C$13,$X$12:$X$15,$Y$12:$Y$15))))</f>
        <v>167.50000000000003</v>
      </c>
      <c r="D38" s="78"/>
      <c r="E38" s="79" t="s">
        <v>1</v>
      </c>
      <c r="F38" s="80"/>
      <c r="AC38" s="31"/>
      <c r="AD38" s="31"/>
      <c r="AE38" s="31"/>
    </row>
    <row r="39" spans="1:31" ht="12.95" customHeight="1" x14ac:dyDescent="0.25">
      <c r="A39" s="34"/>
      <c r="B39" s="68" t="s">
        <v>109</v>
      </c>
      <c r="C39" s="116">
        <f>IF(LOOKUP($C$13,$X$12:$X$15,$Z$12:$Z$15)=2,EVEN(ROUNDUP((($C$16)/($C$38/2)),0)),ROUNDUP($C$16/$C$38,0))</f>
        <v>2</v>
      </c>
      <c r="D39" s="117"/>
      <c r="E39" s="117"/>
      <c r="F39" s="118"/>
      <c r="AC39" s="31"/>
      <c r="AD39" s="31"/>
      <c r="AE39" s="31"/>
    </row>
    <row r="40" spans="1:31" ht="12.95" customHeight="1" x14ac:dyDescent="0.25">
      <c r="A40" s="34"/>
      <c r="B40" s="68" t="s">
        <v>110</v>
      </c>
      <c r="C40" s="119">
        <f>$C$39/LOOKUP($C$13,$X$12:$X$15,$Z$12:$Z$15)</f>
        <v>2</v>
      </c>
      <c r="D40" s="120"/>
      <c r="E40" s="120"/>
      <c r="F40" s="121"/>
      <c r="AC40" s="31"/>
      <c r="AD40" s="31"/>
      <c r="AE40" s="31"/>
    </row>
    <row r="41" spans="1:31" ht="12.95" customHeight="1" x14ac:dyDescent="0.25">
      <c r="A41" s="34"/>
      <c r="B41" s="68" t="s">
        <v>111</v>
      </c>
      <c r="C41" s="77">
        <f>C16</f>
        <v>335</v>
      </c>
      <c r="D41" s="78"/>
      <c r="E41" s="79" t="s">
        <v>1</v>
      </c>
      <c r="F41" s="80"/>
      <c r="AC41" s="31"/>
      <c r="AD41" s="31"/>
      <c r="AE41" s="31"/>
    </row>
    <row r="42" spans="1:31" ht="12.95" customHeight="1" x14ac:dyDescent="0.25">
      <c r="A42" s="34"/>
      <c r="B42" s="69"/>
      <c r="C42" s="41"/>
      <c r="D42" s="41"/>
      <c r="E42" s="42"/>
      <c r="F42" s="42"/>
      <c r="AC42" s="31"/>
      <c r="AD42" s="31"/>
      <c r="AE42" s="31"/>
    </row>
    <row r="43" spans="1:31" ht="12.95" customHeight="1" thickBot="1" x14ac:dyDescent="0.3">
      <c r="A43" s="34"/>
      <c r="B43" s="122" t="s">
        <v>121</v>
      </c>
      <c r="C43" s="123"/>
      <c r="D43" s="123"/>
      <c r="E43" s="123"/>
      <c r="F43" s="123"/>
      <c r="AC43" s="31"/>
      <c r="AD43" s="31"/>
      <c r="AE43" s="31"/>
    </row>
    <row r="44" spans="1:31" ht="12.95" customHeight="1" x14ac:dyDescent="0.25">
      <c r="A44" s="34"/>
      <c r="B44" s="44" t="s">
        <v>13</v>
      </c>
      <c r="C44" s="86">
        <v>11.5</v>
      </c>
      <c r="D44" s="87"/>
      <c r="E44" s="82" t="s">
        <v>0</v>
      </c>
      <c r="F44" s="83"/>
      <c r="AC44" s="31"/>
      <c r="AD44" s="31"/>
      <c r="AE44" s="31"/>
    </row>
    <row r="45" spans="1:31" ht="12.95" customHeight="1" x14ac:dyDescent="0.25">
      <c r="A45" s="34"/>
      <c r="B45" s="44" t="s">
        <v>48</v>
      </c>
      <c r="C45" s="81">
        <f>C44*2+132.5</f>
        <v>155.5</v>
      </c>
      <c r="D45" s="82"/>
      <c r="E45" s="82" t="s">
        <v>0</v>
      </c>
      <c r="F45" s="83"/>
      <c r="AC45" s="31"/>
      <c r="AD45" s="31"/>
      <c r="AE45" s="31"/>
    </row>
    <row r="46" spans="1:31" ht="12.95" customHeight="1" x14ac:dyDescent="0.25">
      <c r="A46" s="34"/>
      <c r="B46" s="70"/>
      <c r="C46" s="110" t="s">
        <v>49</v>
      </c>
      <c r="D46" s="111"/>
      <c r="E46" s="110" t="s">
        <v>50</v>
      </c>
      <c r="F46" s="111"/>
      <c r="AC46" s="31"/>
      <c r="AD46" s="31"/>
      <c r="AE46" s="31"/>
    </row>
    <row r="47" spans="1:31" ht="12.95" customHeight="1" x14ac:dyDescent="0.25">
      <c r="A47" s="34"/>
      <c r="B47" s="60" t="s">
        <v>95</v>
      </c>
      <c r="C47" s="71" t="s">
        <v>51</v>
      </c>
      <c r="D47" s="72">
        <f>LOOKUP(C3,H12:H15,I12:I15)</f>
        <v>7.4999999999999997E-3</v>
      </c>
      <c r="E47" s="71" t="s">
        <v>51</v>
      </c>
      <c r="F47" s="72">
        <f>LOOKUP(C3,H12:H15,J12:J15)</f>
        <v>1.7500000000000002E-2</v>
      </c>
      <c r="AC47" s="31"/>
      <c r="AD47" s="31"/>
      <c r="AE47" s="31"/>
    </row>
    <row r="48" spans="1:31" ht="12.95" customHeight="1" x14ac:dyDescent="0.25">
      <c r="A48" s="34"/>
      <c r="B48" s="60" t="s">
        <v>75</v>
      </c>
      <c r="C48" s="73">
        <f>C5-76</f>
        <v>574</v>
      </c>
      <c r="D48" s="74" t="s">
        <v>0</v>
      </c>
      <c r="E48" s="73">
        <f>C5-40</f>
        <v>610</v>
      </c>
      <c r="F48" s="74" t="s">
        <v>0</v>
      </c>
      <c r="AC48" s="31"/>
      <c r="AD48" s="31"/>
      <c r="AE48" s="31"/>
    </row>
    <row r="49" spans="1:31" ht="12.95" customHeight="1" x14ac:dyDescent="0.25">
      <c r="A49" s="34"/>
      <c r="B49" s="60" t="s">
        <v>52</v>
      </c>
      <c r="C49" s="39">
        <f>(((PI()*(C45^2)/4)-(PI()*(132.5^2)/4))*C48)/(10^3)</f>
        <v>2986.2220473138573</v>
      </c>
      <c r="D49" s="74" t="s">
        <v>53</v>
      </c>
      <c r="E49" s="39">
        <f>(((PI()*(C45^2)/4)-(PI()*(132.5^2)/4))*E48)/(10^3)</f>
        <v>3173.5112349502665</v>
      </c>
      <c r="F49" s="74" t="s">
        <v>53</v>
      </c>
      <c r="AC49" s="31"/>
      <c r="AD49" s="31"/>
      <c r="AE49" s="31"/>
    </row>
    <row r="50" spans="1:31" ht="12.95" customHeight="1" x14ac:dyDescent="0.25">
      <c r="A50" s="34"/>
      <c r="B50" s="75" t="s">
        <v>54</v>
      </c>
      <c r="C50" s="109">
        <f>IF(C45&lt;L16,M16,(IF(C45&lt;L15,M15,(IF(C45&lt;L14,M14,(IF(C45&lt;L13,M13,(IF(C45&lt;=L12,M12,M12)))))))))</f>
        <v>0.75</v>
      </c>
      <c r="D50" s="109"/>
      <c r="E50" s="109">
        <f>IF(C45&lt;L16,N16,(IF(C45&lt;L15,N15,(IF(C45&lt;L14,N14,(IF(C45&lt;L13,N13,(IF(C45&lt;=L12,N12,N12)))))))))</f>
        <v>0.65</v>
      </c>
      <c r="F50" s="109"/>
      <c r="AC50" s="31"/>
      <c r="AD50" s="31"/>
      <c r="AE50" s="31"/>
    </row>
    <row r="51" spans="1:31" ht="12.95" customHeight="1" x14ac:dyDescent="0.25">
      <c r="A51" s="34"/>
      <c r="B51" s="62" t="s">
        <v>78</v>
      </c>
      <c r="C51" s="39">
        <f>C49*C50</f>
        <v>2239.6665354853931</v>
      </c>
      <c r="D51" s="74" t="s">
        <v>53</v>
      </c>
      <c r="E51" s="39">
        <f>E49*E50</f>
        <v>2062.7823027176732</v>
      </c>
      <c r="F51" s="74" t="s">
        <v>53</v>
      </c>
      <c r="AC51" s="31"/>
      <c r="AD51" s="31"/>
      <c r="AE51" s="31"/>
    </row>
    <row r="52" spans="1:31" ht="12.95" customHeight="1" x14ac:dyDescent="0.25">
      <c r="A52" s="34"/>
      <c r="B52" s="75" t="s">
        <v>55</v>
      </c>
      <c r="C52" s="39">
        <f>C49*(1-C50)</f>
        <v>746.55551182846432</v>
      </c>
      <c r="D52" s="74" t="s">
        <v>53</v>
      </c>
      <c r="E52" s="39">
        <f>E49*(1-E50)</f>
        <v>1110.7289322325933</v>
      </c>
      <c r="F52" s="74" t="s">
        <v>53</v>
      </c>
      <c r="AC52" s="31"/>
      <c r="AD52" s="31"/>
      <c r="AE52" s="31"/>
    </row>
    <row r="53" spans="1:31" ht="12.95" customHeight="1" x14ac:dyDescent="0.25">
      <c r="A53" s="34"/>
      <c r="B53" s="76" t="s">
        <v>122</v>
      </c>
      <c r="C53" s="107">
        <v>0.8</v>
      </c>
      <c r="D53" s="108"/>
      <c r="E53" s="107">
        <v>0.8</v>
      </c>
      <c r="F53" s="108"/>
      <c r="AC53" s="31"/>
      <c r="AD53" s="31"/>
      <c r="AE53" s="31"/>
    </row>
    <row r="54" spans="1:31" ht="12.95" customHeight="1" x14ac:dyDescent="0.25">
      <c r="A54" s="34"/>
      <c r="B54" s="67" t="s">
        <v>108</v>
      </c>
      <c r="C54" s="39">
        <f>($C$51*$C$29*$C$53)/((60*$C$31*0.000001*$C$48))</f>
        <v>169.08051661620274</v>
      </c>
      <c r="D54" s="40" t="s">
        <v>77</v>
      </c>
      <c r="E54" s="39">
        <f>($E$51*$C$29*$E$53)/((60*$C$31*0.000001*$E$48))</f>
        <v>146.53644773404238</v>
      </c>
      <c r="F54" s="40" t="s">
        <v>77</v>
      </c>
      <c r="AC54" s="31"/>
      <c r="AD54" s="31"/>
      <c r="AE54" s="31"/>
    </row>
    <row r="55" spans="1:31" ht="12.95" customHeight="1" x14ac:dyDescent="0.25">
      <c r="A55" s="34"/>
      <c r="B55" s="65" t="s">
        <v>76</v>
      </c>
      <c r="C55" s="39">
        <f>($C$51*$C$34*$C$53)/((60*$C$36*0.000001*$C$48))</f>
        <v>183.78317023500296</v>
      </c>
      <c r="D55" s="40" t="s">
        <v>77</v>
      </c>
      <c r="E55" s="39">
        <f>(E51*C34*E53)/((60*C36*0.000001*$E$48))</f>
        <v>159.27874753700257</v>
      </c>
      <c r="F55" s="40" t="s">
        <v>77</v>
      </c>
      <c r="AC55" s="31"/>
      <c r="AD55" s="31"/>
      <c r="AE55" s="31"/>
    </row>
    <row r="56" spans="1:31" ht="12.95" customHeight="1" x14ac:dyDescent="0.25">
      <c r="A56" s="34"/>
      <c r="B56" s="68" t="s">
        <v>114</v>
      </c>
      <c r="C56" s="39">
        <f>($C$51*$C$39*$C$53)/((60*$C$41*0.000001*$C$48))</f>
        <v>310.5956677220716</v>
      </c>
      <c r="D56" s="40" t="s">
        <v>77</v>
      </c>
      <c r="E56" s="39">
        <f>($E$51*$C$39*$E$53)/((60*$C$41*0.000001*$E$48))</f>
        <v>269.18291202579542</v>
      </c>
      <c r="F56" s="40" t="s">
        <v>77</v>
      </c>
    </row>
  </sheetData>
  <sheetProtection password="CC4D" sheet="1" objects="1" scenarios="1" selectLockedCells="1"/>
  <sortState ref="R13:V36">
    <sortCondition ref="R13"/>
  </sortState>
  <customSheetViews>
    <customSheetView guid="{5D611E74-9E03-4DFC-866C-F7FA8E158320}" scale="120" showPageBreaks="1" hiddenColumns="1">
      <selection sqref="A1:AE58"/>
      <rowBreaks count="1" manualBreakCount="1">
        <brk id="36" max="16383" man="1"/>
      </rowBreaks>
      <pageMargins left="0.7" right="0.7" top="0.75" bottom="0.75" header="0.3" footer="0.3"/>
      <pageSetup orientation="portrait" r:id="rId1"/>
    </customSheetView>
  </customSheetViews>
  <mergeCells count="71">
    <mergeCell ref="C21:F21"/>
    <mergeCell ref="C32:D32"/>
    <mergeCell ref="M19:O19"/>
    <mergeCell ref="M20:O20"/>
    <mergeCell ref="V11:V12"/>
    <mergeCell ref="B26:F26"/>
    <mergeCell ref="C11:D11"/>
    <mergeCell ref="E11:F11"/>
    <mergeCell ref="C24:F24"/>
    <mergeCell ref="B18:F18"/>
    <mergeCell ref="C23:F23"/>
    <mergeCell ref="C15:D15"/>
    <mergeCell ref="C16:D16"/>
    <mergeCell ref="E16:F16"/>
    <mergeCell ref="E15:F15"/>
    <mergeCell ref="C22:F22"/>
    <mergeCell ref="C19:F19"/>
    <mergeCell ref="E5:F5"/>
    <mergeCell ref="C44:D44"/>
    <mergeCell ref="E44:F44"/>
    <mergeCell ref="C9:F9"/>
    <mergeCell ref="C10:F10"/>
    <mergeCell ref="C41:D41"/>
    <mergeCell ref="E41:F41"/>
    <mergeCell ref="C34:F34"/>
    <mergeCell ref="C20:F20"/>
    <mergeCell ref="C39:F39"/>
    <mergeCell ref="C40:F40"/>
    <mergeCell ref="C28:D28"/>
    <mergeCell ref="E28:F28"/>
    <mergeCell ref="C31:D31"/>
    <mergeCell ref="C36:D36"/>
    <mergeCell ref="C38:D38"/>
    <mergeCell ref="C33:D33"/>
    <mergeCell ref="E32:F32"/>
    <mergeCell ref="E33:F33"/>
    <mergeCell ref="E38:F38"/>
    <mergeCell ref="E37:F37"/>
    <mergeCell ref="C37:D37"/>
    <mergeCell ref="C5:D5"/>
    <mergeCell ref="C8:F8"/>
    <mergeCell ref="C53:D53"/>
    <mergeCell ref="E53:F53"/>
    <mergeCell ref="C50:D50"/>
    <mergeCell ref="E50:F50"/>
    <mergeCell ref="C46:D46"/>
    <mergeCell ref="E46:F46"/>
    <mergeCell ref="C27:D27"/>
    <mergeCell ref="E27:F27"/>
    <mergeCell ref="C29:F29"/>
    <mergeCell ref="C30:F30"/>
    <mergeCell ref="B43:F43"/>
    <mergeCell ref="C35:F35"/>
    <mergeCell ref="E31:F31"/>
    <mergeCell ref="E36:F36"/>
    <mergeCell ref="C12:D12"/>
    <mergeCell ref="E12:F12"/>
    <mergeCell ref="C45:D45"/>
    <mergeCell ref="E45:F45"/>
    <mergeCell ref="H1:AA1"/>
    <mergeCell ref="R11:S12"/>
    <mergeCell ref="C4:D4"/>
    <mergeCell ref="B1:F1"/>
    <mergeCell ref="C14:D14"/>
    <mergeCell ref="E14:F14"/>
    <mergeCell ref="E2:F2"/>
    <mergeCell ref="C3:F3"/>
    <mergeCell ref="C13:F13"/>
    <mergeCell ref="C2:D2"/>
    <mergeCell ref="E4:F4"/>
    <mergeCell ref="B7:F7"/>
  </mergeCells>
  <conditionalFormatting sqref="C20:F20">
    <cfRule type="expression" dxfId="14" priority="7">
      <formula>$P$20</formula>
    </cfRule>
    <cfRule type="expression" dxfId="13" priority="11">
      <formula>$P$19</formula>
    </cfRule>
  </conditionalFormatting>
  <conditionalFormatting sqref="C32">
    <cfRule type="cellIs" dxfId="12" priority="38" operator="greaterThan">
      <formula>$C$12</formula>
    </cfRule>
  </conditionalFormatting>
  <conditionalFormatting sqref="C20:F20 C22:F22">
    <cfRule type="expression" dxfId="11" priority="39">
      <formula>$C$19=$P$11</formula>
    </cfRule>
  </conditionalFormatting>
  <conditionalFormatting sqref="C21:F21">
    <cfRule type="expression" dxfId="10" priority="5">
      <formula>$C$19=$P$12</formula>
    </cfRule>
    <cfRule type="expression" dxfId="9" priority="41">
      <formula>$C$20=$I$3</formula>
    </cfRule>
  </conditionalFormatting>
  <conditionalFormatting sqref="C20:F24">
    <cfRule type="expression" dxfId="8" priority="42">
      <formula>$C$19=$P$12</formula>
    </cfRule>
  </conditionalFormatting>
  <conditionalFormatting sqref="C22:F22">
    <cfRule type="expression" dxfId="7" priority="4">
      <formula>$C$20=$I$3</formula>
    </cfRule>
    <cfRule type="expression" dxfId="6" priority="43">
      <formula>$C$20=$I$3</formula>
    </cfRule>
  </conditionalFormatting>
  <conditionalFormatting sqref="C22:F23">
    <cfRule type="expression" dxfId="5" priority="44">
      <formula>$C$20=$I$3</formula>
    </cfRule>
  </conditionalFormatting>
  <conditionalFormatting sqref="C10:F11">
    <cfRule type="expression" dxfId="4" priority="45">
      <formula>$C$8=$R$13</formula>
    </cfRule>
  </conditionalFormatting>
  <conditionalFormatting sqref="C27:D27">
    <cfRule type="expression" dxfId="3" priority="6">
      <formula>$C$27&gt;$C$12</formula>
    </cfRule>
  </conditionalFormatting>
  <conditionalFormatting sqref="C9:F9">
    <cfRule type="expression" dxfId="2" priority="3">
      <formula>$C$8=$R$13</formula>
    </cfRule>
  </conditionalFormatting>
  <conditionalFormatting sqref="C32:D32">
    <cfRule type="expression" dxfId="1" priority="2">
      <formula>$C$32&gt;$C$27</formula>
    </cfRule>
  </conditionalFormatting>
  <conditionalFormatting sqref="C37:D37">
    <cfRule type="expression" dxfId="0" priority="1">
      <formula>$C$37&gt;$C$12</formula>
    </cfRule>
  </conditionalFormatting>
  <dataValidations count="6">
    <dataValidation type="list" allowBlank="1" showInputMessage="1" showErrorMessage="1" sqref="C3">
      <formula1>$H$12:$H$15</formula1>
    </dataValidation>
    <dataValidation type="list" allowBlank="1" showInputMessage="1" showErrorMessage="1" sqref="C13">
      <formula1>$X$12:$X$15</formula1>
    </dataValidation>
    <dataValidation type="list" allowBlank="1" showInputMessage="1" showErrorMessage="1" sqref="C22">
      <formula1>$H$5:$H$8</formula1>
    </dataValidation>
    <dataValidation type="list" allowBlank="1" showInputMessage="1" showErrorMessage="1" sqref="C19">
      <formula1>$P$11:$P$12</formula1>
    </dataValidation>
    <dataValidation type="list" allowBlank="1" showInputMessage="1" showErrorMessage="1" sqref="C20">
      <formula1>$I$3:$Q$3</formula1>
    </dataValidation>
    <dataValidation type="list" allowBlank="1" showInputMessage="1" showErrorMessage="1" sqref="C8">
      <formula1>$R$13:$R$36</formula1>
    </dataValidation>
  </dataValidations>
  <pageMargins left="0.7" right="0.7" top="0.71314102564102566" bottom="0.47243589743589742" header="0.3" footer="0.3"/>
  <pageSetup fitToWidth="0" fitToHeight="0" orientation="portrait" r:id="rId2"/>
  <headerFooter>
    <oddHeader>&amp;L&amp;G&amp;R&amp;"-,Bold"&amp;18Rotary Magnetron Sputter Process Calculator</oddHeader>
    <oddFooter>&amp;LVersion 1.06&amp;RForm data last saved on &amp;D at &amp;T</oddFooter>
  </headerFooter>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Morse</dc:creator>
  <cp:lastModifiedBy>Patrick Morse</cp:lastModifiedBy>
  <cp:lastPrinted>2012-12-26T17:29:58Z</cp:lastPrinted>
  <dcterms:created xsi:type="dcterms:W3CDTF">2012-10-01T21:03:34Z</dcterms:created>
  <dcterms:modified xsi:type="dcterms:W3CDTF">2013-06-18T01:58:46Z</dcterms:modified>
</cp:coreProperties>
</file>